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eislisten\"/>
    </mc:Choice>
  </mc:AlternateContent>
  <bookViews>
    <workbookView xWindow="0" yWindow="0" windowWidth="22605" windowHeight="10530"/>
  </bookViews>
  <sheets>
    <sheet name="Bruttopreise, zzgl. MwSt" sheetId="4" r:id="rId1"/>
  </sheets>
  <definedNames>
    <definedName name="_xlnm._FilterDatabase" localSheetId="0" hidden="1">'Bruttopreise, zzgl. MwSt'!$A$3:$G$2771</definedName>
    <definedName name="_xlnm.Print_Area" localSheetId="0">'Bruttopreise, zzgl. MwSt'!$A:$D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5" i="4" l="1"/>
  <c r="F2292" i="4"/>
  <c r="F2293" i="4"/>
  <c r="F2294" i="4"/>
  <c r="F2298" i="4"/>
  <c r="F2299" i="4"/>
  <c r="F2300" i="4"/>
  <c r="F2304" i="4"/>
  <c r="F2305" i="4"/>
  <c r="F2306" i="4"/>
  <c r="F2310" i="4"/>
  <c r="F2311" i="4"/>
  <c r="F2312" i="4"/>
  <c r="G855" i="4" l="1"/>
  <c r="E855" i="4" s="1"/>
  <c r="H855" i="4" l="1"/>
  <c r="B2771" i="4"/>
  <c r="A2771" i="4"/>
  <c r="F2771" i="4" s="1"/>
  <c r="B2770" i="4"/>
  <c r="A2770" i="4"/>
  <c r="F2770" i="4" s="1"/>
  <c r="B2769" i="4"/>
  <c r="A2769" i="4"/>
  <c r="F2769" i="4" s="1"/>
  <c r="B2768" i="4"/>
  <c r="A2768" i="4"/>
  <c r="F2768" i="4" s="1"/>
  <c r="B2767" i="4"/>
  <c r="A2767" i="4"/>
  <c r="F2767" i="4" s="1"/>
  <c r="B2766" i="4"/>
  <c r="A2766" i="4"/>
  <c r="F2766" i="4" s="1"/>
  <c r="B2765" i="4"/>
  <c r="A2765" i="4"/>
  <c r="F2765" i="4" s="1"/>
  <c r="B2764" i="4"/>
  <c r="A2764" i="4"/>
  <c r="F2764" i="4" s="1"/>
  <c r="B2763" i="4"/>
  <c r="A2763" i="4"/>
  <c r="F2763" i="4" s="1"/>
  <c r="B2762" i="4"/>
  <c r="A2762" i="4"/>
  <c r="F2762" i="4" s="1"/>
  <c r="B2761" i="4"/>
  <c r="A2761" i="4"/>
  <c r="F2761" i="4" s="1"/>
  <c r="B2760" i="4"/>
  <c r="A2760" i="4"/>
  <c r="F2760" i="4" s="1"/>
  <c r="B2759" i="4"/>
  <c r="A2759" i="4"/>
  <c r="F2759" i="4" s="1"/>
  <c r="B2758" i="4"/>
  <c r="A2758" i="4"/>
  <c r="F2758" i="4" s="1"/>
  <c r="B2757" i="4"/>
  <c r="A2757" i="4"/>
  <c r="F2757" i="4" s="1"/>
  <c r="B2756" i="4"/>
  <c r="A2756" i="4"/>
  <c r="F2756" i="4" s="1"/>
  <c r="B2755" i="4"/>
  <c r="A2755" i="4"/>
  <c r="F2755" i="4" s="1"/>
  <c r="B2754" i="4"/>
  <c r="A2754" i="4"/>
  <c r="F2754" i="4" s="1"/>
  <c r="B2753" i="4"/>
  <c r="A2753" i="4"/>
  <c r="F2753" i="4" s="1"/>
  <c r="B2752" i="4"/>
  <c r="A2752" i="4"/>
  <c r="F2752" i="4" s="1"/>
  <c r="B2751" i="4"/>
  <c r="A2751" i="4"/>
  <c r="F2751" i="4" s="1"/>
  <c r="B2750" i="4"/>
  <c r="A2750" i="4"/>
  <c r="F2750" i="4" s="1"/>
  <c r="B2749" i="4"/>
  <c r="A2749" i="4"/>
  <c r="F2749" i="4" s="1"/>
  <c r="B2748" i="4"/>
  <c r="A2748" i="4"/>
  <c r="F2748" i="4" s="1"/>
  <c r="B2747" i="4"/>
  <c r="A2747" i="4"/>
  <c r="F2747" i="4" s="1"/>
  <c r="B2746" i="4"/>
  <c r="A2746" i="4"/>
  <c r="F2746" i="4" s="1"/>
  <c r="B2745" i="4"/>
  <c r="A2745" i="4"/>
  <c r="F2745" i="4" s="1"/>
  <c r="B2744" i="4"/>
  <c r="A2744" i="4"/>
  <c r="F2744" i="4" s="1"/>
  <c r="B2743" i="4"/>
  <c r="A2743" i="4"/>
  <c r="F2743" i="4" s="1"/>
  <c r="B2742" i="4"/>
  <c r="A2742" i="4"/>
  <c r="F2742" i="4" s="1"/>
  <c r="B2741" i="4"/>
  <c r="A2741" i="4"/>
  <c r="F2741" i="4" s="1"/>
  <c r="B2740" i="4"/>
  <c r="A2740" i="4"/>
  <c r="F2740" i="4" s="1"/>
  <c r="B2739" i="4"/>
  <c r="A2739" i="4"/>
  <c r="F2739" i="4" s="1"/>
  <c r="B2738" i="4"/>
  <c r="A2738" i="4"/>
  <c r="F2738" i="4" s="1"/>
  <c r="B2737" i="4"/>
  <c r="A2737" i="4"/>
  <c r="F2737" i="4" s="1"/>
  <c r="B2736" i="4"/>
  <c r="A2736" i="4"/>
  <c r="F2736" i="4" s="1"/>
  <c r="B2735" i="4"/>
  <c r="A2735" i="4"/>
  <c r="F2735" i="4" s="1"/>
  <c r="B2734" i="4"/>
  <c r="A2734" i="4"/>
  <c r="F2734" i="4" s="1"/>
  <c r="B2733" i="4"/>
  <c r="A2733" i="4"/>
  <c r="F2733" i="4" s="1"/>
  <c r="B2732" i="4"/>
  <c r="A2732" i="4"/>
  <c r="F2732" i="4" s="1"/>
  <c r="B2731" i="4"/>
  <c r="A2731" i="4"/>
  <c r="F2731" i="4" s="1"/>
  <c r="B2730" i="4"/>
  <c r="A2730" i="4"/>
  <c r="F2730" i="4" s="1"/>
  <c r="B2729" i="4"/>
  <c r="A2729" i="4"/>
  <c r="F2729" i="4" s="1"/>
  <c r="B2728" i="4"/>
  <c r="A2728" i="4"/>
  <c r="F2728" i="4" s="1"/>
  <c r="B2727" i="4"/>
  <c r="A2727" i="4"/>
  <c r="F2727" i="4" s="1"/>
  <c r="B2726" i="4"/>
  <c r="A2726" i="4"/>
  <c r="F2726" i="4" s="1"/>
  <c r="B2725" i="4"/>
  <c r="A2725" i="4"/>
  <c r="F2725" i="4" s="1"/>
  <c r="B2724" i="4"/>
  <c r="A2724" i="4"/>
  <c r="F2724" i="4" s="1"/>
  <c r="B2723" i="4"/>
  <c r="A2723" i="4"/>
  <c r="F2723" i="4" s="1"/>
  <c r="B2722" i="4"/>
  <c r="A2722" i="4"/>
  <c r="F2722" i="4" s="1"/>
  <c r="B2721" i="4"/>
  <c r="A2721" i="4"/>
  <c r="F2721" i="4" s="1"/>
  <c r="B2720" i="4"/>
  <c r="A2720" i="4"/>
  <c r="F2720" i="4" s="1"/>
  <c r="B2719" i="4"/>
  <c r="A2719" i="4"/>
  <c r="F2719" i="4" s="1"/>
  <c r="B2718" i="4"/>
  <c r="A2718" i="4"/>
  <c r="F2718" i="4" s="1"/>
  <c r="B2717" i="4"/>
  <c r="A2717" i="4"/>
  <c r="F2717" i="4" s="1"/>
  <c r="B2716" i="4"/>
  <c r="A2716" i="4"/>
  <c r="F2716" i="4" s="1"/>
  <c r="B2715" i="4"/>
  <c r="A2715" i="4"/>
  <c r="F2715" i="4" s="1"/>
  <c r="B2714" i="4"/>
  <c r="A2714" i="4"/>
  <c r="F2714" i="4" s="1"/>
  <c r="B2713" i="4"/>
  <c r="A2713" i="4"/>
  <c r="F2713" i="4" s="1"/>
  <c r="B2712" i="4"/>
  <c r="A2712" i="4"/>
  <c r="F2712" i="4" s="1"/>
  <c r="B2711" i="4"/>
  <c r="A2711" i="4"/>
  <c r="F2711" i="4" s="1"/>
  <c r="B2710" i="4"/>
  <c r="A2710" i="4"/>
  <c r="F2710" i="4" s="1"/>
  <c r="B2709" i="4"/>
  <c r="A2709" i="4"/>
  <c r="F2709" i="4" s="1"/>
  <c r="B2708" i="4"/>
  <c r="A2708" i="4"/>
  <c r="F2708" i="4" s="1"/>
  <c r="B2707" i="4"/>
  <c r="A2707" i="4"/>
  <c r="F2707" i="4" s="1"/>
  <c r="B2706" i="4"/>
  <c r="A2706" i="4"/>
  <c r="F2706" i="4" s="1"/>
  <c r="B2705" i="4"/>
  <c r="A2705" i="4"/>
  <c r="F2705" i="4" s="1"/>
  <c r="B2704" i="4"/>
  <c r="A2704" i="4"/>
  <c r="F2704" i="4" s="1"/>
  <c r="B2703" i="4"/>
  <c r="A2703" i="4"/>
  <c r="F2703" i="4" s="1"/>
  <c r="B2702" i="4"/>
  <c r="A2702" i="4"/>
  <c r="F2702" i="4" s="1"/>
  <c r="B2701" i="4"/>
  <c r="A2701" i="4"/>
  <c r="F2701" i="4" s="1"/>
  <c r="B2700" i="4"/>
  <c r="A2700" i="4"/>
  <c r="F2700" i="4" s="1"/>
  <c r="B2699" i="4"/>
  <c r="A2699" i="4"/>
  <c r="F2699" i="4" s="1"/>
  <c r="B2698" i="4"/>
  <c r="A2698" i="4"/>
  <c r="F2698" i="4" s="1"/>
  <c r="B2697" i="4"/>
  <c r="A2697" i="4"/>
  <c r="F2697" i="4" s="1"/>
  <c r="B2696" i="4"/>
  <c r="A2696" i="4"/>
  <c r="F2696" i="4" s="1"/>
  <c r="B2695" i="4"/>
  <c r="A2695" i="4"/>
  <c r="F2695" i="4" s="1"/>
  <c r="B2694" i="4"/>
  <c r="A2694" i="4"/>
  <c r="F2694" i="4" s="1"/>
  <c r="B2693" i="4"/>
  <c r="A2693" i="4"/>
  <c r="F2693" i="4" s="1"/>
  <c r="B2692" i="4"/>
  <c r="A2692" i="4"/>
  <c r="F2692" i="4" s="1"/>
  <c r="B2691" i="4"/>
  <c r="A2691" i="4"/>
  <c r="F2691" i="4" s="1"/>
  <c r="B2690" i="4"/>
  <c r="A2690" i="4"/>
  <c r="F2690" i="4" s="1"/>
  <c r="B2689" i="4"/>
  <c r="A2689" i="4"/>
  <c r="F2689" i="4" s="1"/>
  <c r="B2688" i="4"/>
  <c r="A2688" i="4"/>
  <c r="F2688" i="4" s="1"/>
  <c r="B2687" i="4"/>
  <c r="A2687" i="4"/>
  <c r="F2687" i="4" s="1"/>
  <c r="B2686" i="4"/>
  <c r="A2686" i="4"/>
  <c r="F2686" i="4" s="1"/>
  <c r="B2685" i="4"/>
  <c r="A2685" i="4"/>
  <c r="F2685" i="4" s="1"/>
  <c r="B2684" i="4"/>
  <c r="A2684" i="4"/>
  <c r="F2684" i="4" s="1"/>
  <c r="B2683" i="4"/>
  <c r="A2683" i="4"/>
  <c r="F2683" i="4" s="1"/>
  <c r="B2682" i="4"/>
  <c r="A2682" i="4"/>
  <c r="F2682" i="4" s="1"/>
  <c r="B2681" i="4"/>
  <c r="A2681" i="4"/>
  <c r="F2681" i="4" s="1"/>
  <c r="B2680" i="4"/>
  <c r="A2680" i="4"/>
  <c r="F2680" i="4" s="1"/>
  <c r="B2679" i="4"/>
  <c r="A2679" i="4"/>
  <c r="F2679" i="4" s="1"/>
  <c r="B2678" i="4"/>
  <c r="A2678" i="4"/>
  <c r="F2678" i="4" s="1"/>
  <c r="B2677" i="4"/>
  <c r="A2677" i="4"/>
  <c r="F2677" i="4" s="1"/>
  <c r="B2676" i="4"/>
  <c r="A2676" i="4"/>
  <c r="F2676" i="4" s="1"/>
  <c r="B2675" i="4"/>
  <c r="A2675" i="4"/>
  <c r="F2675" i="4" s="1"/>
  <c r="B2674" i="4"/>
  <c r="A2674" i="4"/>
  <c r="F2674" i="4" s="1"/>
  <c r="B2673" i="4"/>
  <c r="A2673" i="4"/>
  <c r="F2673" i="4" s="1"/>
  <c r="B2672" i="4"/>
  <c r="A2672" i="4"/>
  <c r="F2672" i="4" s="1"/>
  <c r="B2671" i="4"/>
  <c r="A2671" i="4"/>
  <c r="F2671" i="4" s="1"/>
  <c r="B2670" i="4"/>
  <c r="A2670" i="4"/>
  <c r="F2670" i="4" s="1"/>
  <c r="B2669" i="4"/>
  <c r="A2669" i="4"/>
  <c r="F2669" i="4" s="1"/>
  <c r="B2668" i="4"/>
  <c r="A2668" i="4"/>
  <c r="F2668" i="4" s="1"/>
  <c r="B2667" i="4"/>
  <c r="A2667" i="4"/>
  <c r="F2667" i="4" s="1"/>
  <c r="B2666" i="4"/>
  <c r="A2666" i="4"/>
  <c r="F2666" i="4" s="1"/>
  <c r="B2665" i="4"/>
  <c r="A2665" i="4"/>
  <c r="F2665" i="4" s="1"/>
  <c r="B2664" i="4"/>
  <c r="A2664" i="4"/>
  <c r="F2664" i="4" s="1"/>
  <c r="B2663" i="4"/>
  <c r="A2663" i="4"/>
  <c r="F2663" i="4" s="1"/>
  <c r="B2662" i="4"/>
  <c r="A2662" i="4"/>
  <c r="F2662" i="4" s="1"/>
  <c r="B2661" i="4"/>
  <c r="A2661" i="4"/>
  <c r="F2661" i="4" s="1"/>
  <c r="B2660" i="4"/>
  <c r="A2660" i="4"/>
  <c r="F2660" i="4" s="1"/>
  <c r="B2659" i="4"/>
  <c r="A2659" i="4"/>
  <c r="F2659" i="4" s="1"/>
  <c r="B2658" i="4"/>
  <c r="A2658" i="4"/>
  <c r="F2658" i="4" s="1"/>
  <c r="B2657" i="4"/>
  <c r="A2657" i="4"/>
  <c r="F2657" i="4" s="1"/>
  <c r="B2656" i="4"/>
  <c r="A2656" i="4"/>
  <c r="F2656" i="4" s="1"/>
  <c r="B2655" i="4"/>
  <c r="A2655" i="4"/>
  <c r="F2655" i="4" s="1"/>
  <c r="B2654" i="4"/>
  <c r="A2654" i="4"/>
  <c r="F2654" i="4" s="1"/>
  <c r="B2653" i="4"/>
  <c r="A2653" i="4"/>
  <c r="F2653" i="4" s="1"/>
  <c r="B2652" i="4"/>
  <c r="A2652" i="4"/>
  <c r="F2652" i="4" s="1"/>
  <c r="B2651" i="4"/>
  <c r="A2651" i="4"/>
  <c r="F2651" i="4" s="1"/>
  <c r="B2650" i="4"/>
  <c r="A2650" i="4"/>
  <c r="F2650" i="4" s="1"/>
  <c r="B2649" i="4"/>
  <c r="A2649" i="4"/>
  <c r="F2649" i="4" s="1"/>
  <c r="B2648" i="4"/>
  <c r="A2648" i="4"/>
  <c r="F2648" i="4" s="1"/>
  <c r="B2647" i="4"/>
  <c r="A2647" i="4"/>
  <c r="F2647" i="4" s="1"/>
  <c r="B2646" i="4"/>
  <c r="A2646" i="4"/>
  <c r="F2646" i="4" s="1"/>
  <c r="B2645" i="4"/>
  <c r="A2645" i="4"/>
  <c r="F2645" i="4" s="1"/>
  <c r="B2644" i="4"/>
  <c r="A2644" i="4"/>
  <c r="F2644" i="4" s="1"/>
  <c r="B2643" i="4"/>
  <c r="A2643" i="4"/>
  <c r="F2643" i="4" s="1"/>
  <c r="B2642" i="4"/>
  <c r="A2642" i="4"/>
  <c r="F2642" i="4" s="1"/>
  <c r="B2641" i="4"/>
  <c r="A2641" i="4"/>
  <c r="F2641" i="4" s="1"/>
  <c r="B2640" i="4"/>
  <c r="A2640" i="4"/>
  <c r="F2640" i="4" s="1"/>
  <c r="B2639" i="4"/>
  <c r="A2639" i="4"/>
  <c r="F2639" i="4" s="1"/>
  <c r="B2638" i="4"/>
  <c r="A2638" i="4"/>
  <c r="F2638" i="4" s="1"/>
  <c r="B2637" i="4"/>
  <c r="A2637" i="4"/>
  <c r="F2637" i="4" s="1"/>
  <c r="B2636" i="4"/>
  <c r="A2636" i="4"/>
  <c r="F2636" i="4" s="1"/>
  <c r="B2635" i="4"/>
  <c r="A2635" i="4"/>
  <c r="F2635" i="4" s="1"/>
  <c r="B2634" i="4"/>
  <c r="A2634" i="4"/>
  <c r="F2634" i="4" s="1"/>
  <c r="B2633" i="4"/>
  <c r="A2633" i="4"/>
  <c r="F2633" i="4" s="1"/>
  <c r="B2632" i="4"/>
  <c r="A2632" i="4"/>
  <c r="F2632" i="4" s="1"/>
  <c r="B2631" i="4"/>
  <c r="A2631" i="4"/>
  <c r="F2631" i="4" s="1"/>
  <c r="B2630" i="4"/>
  <c r="A2630" i="4"/>
  <c r="F2630" i="4" s="1"/>
  <c r="B2629" i="4"/>
  <c r="A2629" i="4"/>
  <c r="F2629" i="4" s="1"/>
  <c r="B2628" i="4"/>
  <c r="A2628" i="4"/>
  <c r="F2628" i="4" s="1"/>
  <c r="B2627" i="4"/>
  <c r="A2627" i="4"/>
  <c r="F2627" i="4" s="1"/>
  <c r="B2626" i="4"/>
  <c r="A2626" i="4"/>
  <c r="F2626" i="4" s="1"/>
  <c r="B2625" i="4"/>
  <c r="A2625" i="4"/>
  <c r="F2625" i="4" s="1"/>
  <c r="B2624" i="4"/>
  <c r="A2624" i="4"/>
  <c r="F2624" i="4" s="1"/>
  <c r="B2623" i="4"/>
  <c r="A2623" i="4"/>
  <c r="F2623" i="4" s="1"/>
  <c r="B2622" i="4"/>
  <c r="A2622" i="4"/>
  <c r="F2622" i="4" s="1"/>
  <c r="B2621" i="4"/>
  <c r="A2621" i="4"/>
  <c r="F2621" i="4" s="1"/>
  <c r="B2620" i="4"/>
  <c r="A2620" i="4"/>
  <c r="F2620" i="4" s="1"/>
  <c r="B2619" i="4"/>
  <c r="A2619" i="4"/>
  <c r="F2619" i="4" s="1"/>
  <c r="B2618" i="4"/>
  <c r="A2618" i="4"/>
  <c r="F2618" i="4" s="1"/>
  <c r="B2617" i="4"/>
  <c r="A2617" i="4"/>
  <c r="F2617" i="4" s="1"/>
  <c r="B2616" i="4"/>
  <c r="A2616" i="4"/>
  <c r="F2616" i="4" s="1"/>
  <c r="B2615" i="4"/>
  <c r="A2615" i="4"/>
  <c r="F2615" i="4" s="1"/>
  <c r="B2614" i="4"/>
  <c r="A2614" i="4"/>
  <c r="F2614" i="4" s="1"/>
  <c r="B2613" i="4"/>
  <c r="A2613" i="4"/>
  <c r="F2613" i="4" s="1"/>
  <c r="B2612" i="4"/>
  <c r="A2612" i="4"/>
  <c r="F2612" i="4" s="1"/>
  <c r="B2611" i="4"/>
  <c r="A2611" i="4"/>
  <c r="F2611" i="4" s="1"/>
  <c r="B2610" i="4"/>
  <c r="A2610" i="4"/>
  <c r="F2610" i="4" s="1"/>
  <c r="B2609" i="4"/>
  <c r="A2609" i="4"/>
  <c r="F2609" i="4" s="1"/>
  <c r="B2608" i="4"/>
  <c r="A2608" i="4"/>
  <c r="F2608" i="4" s="1"/>
  <c r="B2607" i="4"/>
  <c r="A2607" i="4"/>
  <c r="F2607" i="4" s="1"/>
  <c r="B2606" i="4"/>
  <c r="A2606" i="4"/>
  <c r="F2606" i="4" s="1"/>
  <c r="B2605" i="4"/>
  <c r="A2605" i="4"/>
  <c r="F2605" i="4" s="1"/>
  <c r="B2604" i="4"/>
  <c r="A2604" i="4"/>
  <c r="F2604" i="4" s="1"/>
  <c r="B2603" i="4"/>
  <c r="A2603" i="4"/>
  <c r="F2603" i="4" s="1"/>
  <c r="B2602" i="4"/>
  <c r="A2602" i="4"/>
  <c r="F2602" i="4" s="1"/>
  <c r="B2601" i="4"/>
  <c r="A2601" i="4"/>
  <c r="F2601" i="4" s="1"/>
  <c r="B2600" i="4"/>
  <c r="A2600" i="4"/>
  <c r="F2600" i="4" s="1"/>
  <c r="B2599" i="4"/>
  <c r="A2599" i="4"/>
  <c r="F2599" i="4" s="1"/>
  <c r="B2598" i="4"/>
  <c r="A2598" i="4"/>
  <c r="F2598" i="4" s="1"/>
  <c r="B2597" i="4"/>
  <c r="A2597" i="4"/>
  <c r="F2597" i="4" s="1"/>
  <c r="B2596" i="4"/>
  <c r="A2596" i="4"/>
  <c r="F2596" i="4" s="1"/>
  <c r="B2595" i="4"/>
  <c r="A2595" i="4"/>
  <c r="F2595" i="4" s="1"/>
  <c r="B2594" i="4"/>
  <c r="A2594" i="4"/>
  <c r="F2594" i="4" s="1"/>
  <c r="B2593" i="4"/>
  <c r="A2593" i="4"/>
  <c r="F2593" i="4" s="1"/>
  <c r="B2592" i="4"/>
  <c r="A2592" i="4"/>
  <c r="F2592" i="4" s="1"/>
  <c r="B2591" i="4"/>
  <c r="A2591" i="4"/>
  <c r="F2591" i="4" s="1"/>
  <c r="B2590" i="4"/>
  <c r="A2590" i="4"/>
  <c r="F2590" i="4" s="1"/>
  <c r="B2589" i="4"/>
  <c r="A2589" i="4"/>
  <c r="F2589" i="4" s="1"/>
  <c r="B2588" i="4"/>
  <c r="A2588" i="4"/>
  <c r="F2588" i="4" s="1"/>
  <c r="B2587" i="4"/>
  <c r="A2587" i="4"/>
  <c r="F2587" i="4" s="1"/>
  <c r="B2586" i="4"/>
  <c r="A2586" i="4"/>
  <c r="F2586" i="4" s="1"/>
  <c r="B2585" i="4"/>
  <c r="A2585" i="4"/>
  <c r="F2585" i="4" s="1"/>
  <c r="B2584" i="4"/>
  <c r="A2584" i="4"/>
  <c r="F2584" i="4" s="1"/>
  <c r="B2583" i="4"/>
  <c r="A2583" i="4"/>
  <c r="F2583" i="4" s="1"/>
  <c r="B2582" i="4"/>
  <c r="A2582" i="4"/>
  <c r="F2582" i="4" s="1"/>
  <c r="B2581" i="4"/>
  <c r="A2581" i="4"/>
  <c r="F2581" i="4" s="1"/>
  <c r="B2580" i="4"/>
  <c r="A2580" i="4"/>
  <c r="F2580" i="4" s="1"/>
  <c r="B2579" i="4"/>
  <c r="A2579" i="4"/>
  <c r="F2579" i="4" s="1"/>
  <c r="B2578" i="4"/>
  <c r="A2578" i="4"/>
  <c r="F2578" i="4" s="1"/>
  <c r="B2577" i="4"/>
  <c r="A2577" i="4"/>
  <c r="F2577" i="4" s="1"/>
  <c r="B2576" i="4"/>
  <c r="A2576" i="4"/>
  <c r="F2576" i="4" s="1"/>
  <c r="B2575" i="4"/>
  <c r="A2575" i="4"/>
  <c r="F2575" i="4" s="1"/>
  <c r="B2574" i="4"/>
  <c r="A2574" i="4"/>
  <c r="F2574" i="4" s="1"/>
  <c r="B2573" i="4"/>
  <c r="A2573" i="4"/>
  <c r="F2573" i="4" s="1"/>
  <c r="B2572" i="4"/>
  <c r="A2572" i="4"/>
  <c r="F2572" i="4" s="1"/>
  <c r="B2571" i="4"/>
  <c r="A2571" i="4"/>
  <c r="F2571" i="4" s="1"/>
  <c r="B2570" i="4"/>
  <c r="A2570" i="4"/>
  <c r="F2570" i="4" s="1"/>
  <c r="B2569" i="4"/>
  <c r="A2569" i="4"/>
  <c r="F2569" i="4" s="1"/>
  <c r="B2568" i="4"/>
  <c r="A2568" i="4"/>
  <c r="F2568" i="4" s="1"/>
  <c r="B2567" i="4"/>
  <c r="A2567" i="4"/>
  <c r="F2567" i="4" s="1"/>
  <c r="B2566" i="4"/>
  <c r="A2566" i="4"/>
  <c r="F2566" i="4" s="1"/>
  <c r="B2565" i="4"/>
  <c r="A2565" i="4"/>
  <c r="F2565" i="4" s="1"/>
  <c r="B2564" i="4"/>
  <c r="A2564" i="4"/>
  <c r="F2564" i="4" s="1"/>
  <c r="B2563" i="4"/>
  <c r="A2563" i="4"/>
  <c r="F2563" i="4" s="1"/>
  <c r="B2562" i="4"/>
  <c r="A2562" i="4"/>
  <c r="F2562" i="4" s="1"/>
  <c r="B2561" i="4"/>
  <c r="A2561" i="4"/>
  <c r="F2561" i="4" s="1"/>
  <c r="B2560" i="4"/>
  <c r="A2560" i="4"/>
  <c r="F2560" i="4" s="1"/>
  <c r="B2559" i="4"/>
  <c r="A2559" i="4"/>
  <c r="F2559" i="4" s="1"/>
  <c r="B2558" i="4"/>
  <c r="A2558" i="4"/>
  <c r="F2558" i="4" s="1"/>
  <c r="B2557" i="4"/>
  <c r="A2557" i="4"/>
  <c r="F2557" i="4" s="1"/>
  <c r="B2556" i="4"/>
  <c r="A2556" i="4"/>
  <c r="F2556" i="4" s="1"/>
  <c r="B2555" i="4"/>
  <c r="A2555" i="4"/>
  <c r="F2555" i="4" s="1"/>
  <c r="B2554" i="4"/>
  <c r="A2554" i="4"/>
  <c r="F2554" i="4" s="1"/>
  <c r="B2553" i="4"/>
  <c r="A2553" i="4"/>
  <c r="F2553" i="4" s="1"/>
  <c r="B2552" i="4"/>
  <c r="A2552" i="4"/>
  <c r="F2552" i="4" s="1"/>
  <c r="B2551" i="4"/>
  <c r="A2551" i="4"/>
  <c r="F2551" i="4" s="1"/>
  <c r="B2550" i="4"/>
  <c r="A2550" i="4"/>
  <c r="F2550" i="4" s="1"/>
  <c r="B2549" i="4"/>
  <c r="A2549" i="4"/>
  <c r="F2549" i="4" s="1"/>
  <c r="B2548" i="4"/>
  <c r="A2548" i="4"/>
  <c r="F2548" i="4" s="1"/>
  <c r="B2547" i="4"/>
  <c r="A2547" i="4"/>
  <c r="F2547" i="4" s="1"/>
  <c r="B2546" i="4"/>
  <c r="A2546" i="4"/>
  <c r="F2546" i="4" s="1"/>
  <c r="B2545" i="4"/>
  <c r="A2545" i="4"/>
  <c r="F2545" i="4" s="1"/>
  <c r="B2544" i="4"/>
  <c r="A2544" i="4"/>
  <c r="F2544" i="4" s="1"/>
  <c r="B2543" i="4"/>
  <c r="A2543" i="4"/>
  <c r="F2543" i="4" s="1"/>
  <c r="B2542" i="4"/>
  <c r="A2542" i="4"/>
  <c r="F2542" i="4" s="1"/>
  <c r="B2541" i="4"/>
  <c r="A2541" i="4"/>
  <c r="F2541" i="4" s="1"/>
  <c r="B2540" i="4"/>
  <c r="A2540" i="4"/>
  <c r="F2540" i="4" s="1"/>
  <c r="B2539" i="4"/>
  <c r="A2539" i="4"/>
  <c r="F2539" i="4" s="1"/>
  <c r="B2538" i="4"/>
  <c r="A2538" i="4"/>
  <c r="F2538" i="4" s="1"/>
  <c r="B2537" i="4"/>
  <c r="A2537" i="4"/>
  <c r="F2537" i="4" s="1"/>
  <c r="B2536" i="4"/>
  <c r="A2536" i="4"/>
  <c r="F2536" i="4" s="1"/>
  <c r="B2535" i="4"/>
  <c r="A2535" i="4"/>
  <c r="F2535" i="4" s="1"/>
  <c r="B2534" i="4"/>
  <c r="A2534" i="4"/>
  <c r="F2534" i="4" s="1"/>
  <c r="B2533" i="4"/>
  <c r="A2533" i="4"/>
  <c r="F2533" i="4" s="1"/>
  <c r="B2532" i="4"/>
  <c r="A2532" i="4"/>
  <c r="F2532" i="4" s="1"/>
  <c r="B2531" i="4"/>
  <c r="A2531" i="4"/>
  <c r="F2531" i="4" s="1"/>
  <c r="B2530" i="4"/>
  <c r="A2530" i="4"/>
  <c r="F2530" i="4" s="1"/>
  <c r="B2529" i="4"/>
  <c r="A2529" i="4"/>
  <c r="F2529" i="4" s="1"/>
  <c r="B2528" i="4"/>
  <c r="A2528" i="4"/>
  <c r="F2528" i="4" s="1"/>
  <c r="B2527" i="4"/>
  <c r="A2527" i="4"/>
  <c r="F2527" i="4" s="1"/>
  <c r="B2526" i="4"/>
  <c r="A2526" i="4"/>
  <c r="F2526" i="4" s="1"/>
  <c r="B2525" i="4"/>
  <c r="A2525" i="4"/>
  <c r="F2525" i="4" s="1"/>
  <c r="B2524" i="4"/>
  <c r="A2524" i="4"/>
  <c r="F2524" i="4" s="1"/>
  <c r="B2523" i="4"/>
  <c r="A2523" i="4"/>
  <c r="F2523" i="4" s="1"/>
  <c r="B2522" i="4"/>
  <c r="A2522" i="4"/>
  <c r="F2522" i="4" s="1"/>
  <c r="B2521" i="4"/>
  <c r="A2521" i="4"/>
  <c r="F2521" i="4" s="1"/>
  <c r="B2520" i="4"/>
  <c r="A2520" i="4"/>
  <c r="F2520" i="4" s="1"/>
  <c r="B2519" i="4"/>
  <c r="A2519" i="4"/>
  <c r="F2519" i="4" s="1"/>
  <c r="B2518" i="4"/>
  <c r="A2518" i="4"/>
  <c r="F2518" i="4" s="1"/>
  <c r="B2517" i="4"/>
  <c r="A2517" i="4"/>
  <c r="F2517" i="4" s="1"/>
  <c r="B2516" i="4"/>
  <c r="A2516" i="4"/>
  <c r="F2516" i="4" s="1"/>
  <c r="B2515" i="4"/>
  <c r="A2515" i="4"/>
  <c r="F2515" i="4" s="1"/>
  <c r="B2514" i="4"/>
  <c r="A2514" i="4"/>
  <c r="F2514" i="4" s="1"/>
  <c r="B2513" i="4"/>
  <c r="A2513" i="4"/>
  <c r="F2513" i="4" s="1"/>
  <c r="B2512" i="4"/>
  <c r="A2512" i="4"/>
  <c r="F2512" i="4" s="1"/>
  <c r="B2511" i="4"/>
  <c r="A2511" i="4"/>
  <c r="F2511" i="4" s="1"/>
  <c r="B2510" i="4"/>
  <c r="A2510" i="4"/>
  <c r="F2510" i="4" s="1"/>
  <c r="B2509" i="4"/>
  <c r="A2509" i="4"/>
  <c r="F2509" i="4" s="1"/>
  <c r="B2508" i="4"/>
  <c r="A2508" i="4"/>
  <c r="F2508" i="4" s="1"/>
  <c r="B2507" i="4"/>
  <c r="A2507" i="4"/>
  <c r="F2507" i="4" s="1"/>
  <c r="B2506" i="4"/>
  <c r="A2506" i="4"/>
  <c r="F2506" i="4" s="1"/>
  <c r="B2505" i="4"/>
  <c r="A2505" i="4"/>
  <c r="F2505" i="4" s="1"/>
  <c r="B2504" i="4"/>
  <c r="A2504" i="4"/>
  <c r="F2504" i="4" s="1"/>
  <c r="B2503" i="4"/>
  <c r="A2503" i="4"/>
  <c r="F2503" i="4" s="1"/>
  <c r="B2502" i="4"/>
  <c r="A2502" i="4"/>
  <c r="F2502" i="4" s="1"/>
  <c r="B2501" i="4"/>
  <c r="A2501" i="4"/>
  <c r="F2501" i="4" s="1"/>
  <c r="B2500" i="4"/>
  <c r="A2500" i="4"/>
  <c r="F2500" i="4" s="1"/>
  <c r="B2499" i="4"/>
  <c r="A2499" i="4"/>
  <c r="F2499" i="4" s="1"/>
  <c r="B2498" i="4"/>
  <c r="A2498" i="4"/>
  <c r="F2498" i="4" s="1"/>
  <c r="B2497" i="4"/>
  <c r="A2497" i="4"/>
  <c r="F2497" i="4" s="1"/>
  <c r="B2496" i="4"/>
  <c r="A2496" i="4"/>
  <c r="F2496" i="4" s="1"/>
  <c r="B2495" i="4"/>
  <c r="A2495" i="4"/>
  <c r="F2495" i="4" s="1"/>
  <c r="B2494" i="4"/>
  <c r="A2494" i="4"/>
  <c r="F2494" i="4" s="1"/>
  <c r="B2493" i="4"/>
  <c r="A2493" i="4"/>
  <c r="F2493" i="4" s="1"/>
  <c r="B2492" i="4"/>
  <c r="A2492" i="4"/>
  <c r="F2492" i="4" s="1"/>
  <c r="B2491" i="4"/>
  <c r="A2491" i="4"/>
  <c r="F2491" i="4" s="1"/>
  <c r="B2490" i="4"/>
  <c r="A2490" i="4"/>
  <c r="F2490" i="4" s="1"/>
  <c r="B2489" i="4"/>
  <c r="A2489" i="4"/>
  <c r="F2489" i="4" s="1"/>
  <c r="B2488" i="4"/>
  <c r="A2488" i="4"/>
  <c r="F2488" i="4" s="1"/>
  <c r="B2487" i="4"/>
  <c r="A2487" i="4"/>
  <c r="F2487" i="4" s="1"/>
  <c r="B2486" i="4"/>
  <c r="A2486" i="4"/>
  <c r="F2486" i="4" s="1"/>
  <c r="B2485" i="4"/>
  <c r="A2485" i="4"/>
  <c r="F2485" i="4" s="1"/>
  <c r="B2484" i="4"/>
  <c r="A2484" i="4"/>
  <c r="F2484" i="4" s="1"/>
  <c r="B2483" i="4"/>
  <c r="A2483" i="4"/>
  <c r="F2483" i="4" s="1"/>
  <c r="B2482" i="4"/>
  <c r="A2482" i="4"/>
  <c r="F2482" i="4" s="1"/>
  <c r="B2481" i="4"/>
  <c r="A2481" i="4"/>
  <c r="F2481" i="4" s="1"/>
  <c r="B2480" i="4"/>
  <c r="A2480" i="4"/>
  <c r="F2480" i="4" s="1"/>
  <c r="B2479" i="4"/>
  <c r="A2479" i="4"/>
  <c r="F2479" i="4" s="1"/>
  <c r="B2478" i="4"/>
  <c r="A2478" i="4"/>
  <c r="F2478" i="4" s="1"/>
  <c r="B2477" i="4"/>
  <c r="A2477" i="4"/>
  <c r="F2477" i="4" s="1"/>
  <c r="B2476" i="4"/>
  <c r="A2476" i="4"/>
  <c r="F2476" i="4" s="1"/>
  <c r="B2475" i="4"/>
  <c r="A2475" i="4"/>
  <c r="F2475" i="4" s="1"/>
  <c r="B2474" i="4"/>
  <c r="A2474" i="4"/>
  <c r="F2474" i="4" s="1"/>
  <c r="B2473" i="4"/>
  <c r="A2473" i="4"/>
  <c r="F2473" i="4" s="1"/>
  <c r="B2472" i="4"/>
  <c r="A2472" i="4"/>
  <c r="F2472" i="4" s="1"/>
  <c r="B2471" i="4"/>
  <c r="A2471" i="4"/>
  <c r="F2471" i="4" s="1"/>
  <c r="B2470" i="4"/>
  <c r="A2470" i="4"/>
  <c r="F2470" i="4" s="1"/>
  <c r="B2469" i="4"/>
  <c r="A2469" i="4"/>
  <c r="F2469" i="4" s="1"/>
  <c r="B2468" i="4"/>
  <c r="A2468" i="4"/>
  <c r="F2468" i="4" s="1"/>
  <c r="B2467" i="4"/>
  <c r="A2467" i="4"/>
  <c r="F2467" i="4" s="1"/>
  <c r="B2466" i="4"/>
  <c r="A2466" i="4"/>
  <c r="F2466" i="4" s="1"/>
  <c r="B2465" i="4"/>
  <c r="A2465" i="4"/>
  <c r="F2465" i="4" s="1"/>
  <c r="B2464" i="4"/>
  <c r="A2464" i="4"/>
  <c r="F2464" i="4" s="1"/>
  <c r="B2463" i="4"/>
  <c r="A2463" i="4"/>
  <c r="F2463" i="4" s="1"/>
  <c r="B2462" i="4"/>
  <c r="A2462" i="4"/>
  <c r="F2462" i="4" s="1"/>
  <c r="B2461" i="4"/>
  <c r="A2461" i="4"/>
  <c r="F2461" i="4" s="1"/>
  <c r="B2460" i="4"/>
  <c r="A2460" i="4"/>
  <c r="F2460" i="4" s="1"/>
  <c r="B2459" i="4"/>
  <c r="A2459" i="4"/>
  <c r="F2459" i="4" s="1"/>
  <c r="B2458" i="4"/>
  <c r="A2458" i="4"/>
  <c r="F2458" i="4" s="1"/>
  <c r="B2457" i="4"/>
  <c r="A2457" i="4"/>
  <c r="F2457" i="4" s="1"/>
  <c r="B2456" i="4"/>
  <c r="A2456" i="4"/>
  <c r="F2456" i="4" s="1"/>
  <c r="B2455" i="4"/>
  <c r="A2455" i="4"/>
  <c r="F2455" i="4" s="1"/>
  <c r="B2454" i="4"/>
  <c r="A2454" i="4"/>
  <c r="F2454" i="4" s="1"/>
  <c r="B2453" i="4"/>
  <c r="A2453" i="4"/>
  <c r="F2453" i="4" s="1"/>
  <c r="B2452" i="4"/>
  <c r="A2452" i="4"/>
  <c r="F2452" i="4" s="1"/>
  <c r="B2451" i="4"/>
  <c r="A2451" i="4"/>
  <c r="F2451" i="4" s="1"/>
  <c r="B2450" i="4"/>
  <c r="A2450" i="4"/>
  <c r="F2450" i="4" s="1"/>
  <c r="B2449" i="4"/>
  <c r="A2449" i="4"/>
  <c r="F2449" i="4" s="1"/>
  <c r="B2448" i="4"/>
  <c r="A2448" i="4"/>
  <c r="F2448" i="4" s="1"/>
  <c r="B2447" i="4"/>
  <c r="A2447" i="4"/>
  <c r="F2447" i="4" s="1"/>
  <c r="B2446" i="4"/>
  <c r="A2446" i="4"/>
  <c r="F2446" i="4" s="1"/>
  <c r="B2445" i="4"/>
  <c r="A2445" i="4"/>
  <c r="F2445" i="4" s="1"/>
  <c r="B2444" i="4"/>
  <c r="A2444" i="4"/>
  <c r="F2444" i="4" s="1"/>
  <c r="B2443" i="4"/>
  <c r="A2443" i="4"/>
  <c r="F2443" i="4" s="1"/>
  <c r="B2442" i="4"/>
  <c r="A2442" i="4"/>
  <c r="F2442" i="4" s="1"/>
  <c r="B2441" i="4"/>
  <c r="A2441" i="4"/>
  <c r="F2441" i="4" s="1"/>
  <c r="B2440" i="4"/>
  <c r="A2440" i="4"/>
  <c r="F2440" i="4" s="1"/>
  <c r="B2439" i="4"/>
  <c r="A2439" i="4"/>
  <c r="F2439" i="4" s="1"/>
  <c r="B2438" i="4"/>
  <c r="A2438" i="4"/>
  <c r="F2438" i="4" s="1"/>
  <c r="B2437" i="4"/>
  <c r="A2437" i="4"/>
  <c r="F2437" i="4" s="1"/>
  <c r="B2436" i="4"/>
  <c r="A2436" i="4"/>
  <c r="F2436" i="4" s="1"/>
  <c r="B2435" i="4"/>
  <c r="A2435" i="4"/>
  <c r="F2435" i="4" s="1"/>
  <c r="B2434" i="4"/>
  <c r="A2434" i="4"/>
  <c r="F2434" i="4" s="1"/>
  <c r="B2433" i="4"/>
  <c r="A2433" i="4"/>
  <c r="F2433" i="4" s="1"/>
  <c r="B2432" i="4"/>
  <c r="A2432" i="4"/>
  <c r="F2432" i="4" s="1"/>
  <c r="B2431" i="4"/>
  <c r="A2431" i="4"/>
  <c r="F2431" i="4" s="1"/>
  <c r="B2430" i="4"/>
  <c r="A2430" i="4"/>
  <c r="F2430" i="4" s="1"/>
  <c r="B2429" i="4"/>
  <c r="A2429" i="4"/>
  <c r="F2429" i="4" s="1"/>
  <c r="B2428" i="4"/>
  <c r="A2428" i="4"/>
  <c r="F2428" i="4" s="1"/>
  <c r="B2427" i="4"/>
  <c r="A2427" i="4"/>
  <c r="F2427" i="4" s="1"/>
  <c r="B2426" i="4"/>
  <c r="A2426" i="4"/>
  <c r="F2426" i="4" s="1"/>
  <c r="B2425" i="4"/>
  <c r="A2425" i="4"/>
  <c r="F2425" i="4" s="1"/>
  <c r="B2424" i="4"/>
  <c r="A2424" i="4"/>
  <c r="F2424" i="4" s="1"/>
  <c r="B2423" i="4"/>
  <c r="A2423" i="4"/>
  <c r="F2423" i="4" s="1"/>
  <c r="B2422" i="4"/>
  <c r="A2422" i="4"/>
  <c r="F2422" i="4" s="1"/>
  <c r="B2421" i="4"/>
  <c r="A2421" i="4"/>
  <c r="F2421" i="4" s="1"/>
  <c r="B2420" i="4"/>
  <c r="A2420" i="4"/>
  <c r="F2420" i="4" s="1"/>
  <c r="B2419" i="4"/>
  <c r="A2419" i="4"/>
  <c r="F2419" i="4" s="1"/>
  <c r="B2418" i="4"/>
  <c r="A2418" i="4"/>
  <c r="F2418" i="4" s="1"/>
  <c r="B2417" i="4"/>
  <c r="A2417" i="4"/>
  <c r="F2417" i="4" s="1"/>
  <c r="B2416" i="4"/>
  <c r="A2416" i="4"/>
  <c r="F2416" i="4" s="1"/>
  <c r="B2415" i="4"/>
  <c r="A2415" i="4"/>
  <c r="F2415" i="4" s="1"/>
  <c r="B2414" i="4"/>
  <c r="A2414" i="4"/>
  <c r="F2414" i="4" s="1"/>
  <c r="B2413" i="4"/>
  <c r="A2413" i="4"/>
  <c r="F2413" i="4" s="1"/>
  <c r="B2412" i="4"/>
  <c r="A2412" i="4"/>
  <c r="F2412" i="4" s="1"/>
  <c r="B2411" i="4"/>
  <c r="A2411" i="4"/>
  <c r="F2411" i="4" s="1"/>
  <c r="B2410" i="4"/>
  <c r="A2410" i="4"/>
  <c r="F2410" i="4" s="1"/>
  <c r="B2409" i="4"/>
  <c r="A2409" i="4"/>
  <c r="F2409" i="4" s="1"/>
  <c r="B2408" i="4"/>
  <c r="A2408" i="4"/>
  <c r="F2408" i="4" s="1"/>
  <c r="B2407" i="4"/>
  <c r="A2407" i="4"/>
  <c r="F2407" i="4" s="1"/>
  <c r="B2406" i="4"/>
  <c r="A2406" i="4"/>
  <c r="F2406" i="4" s="1"/>
  <c r="B2405" i="4"/>
  <c r="A2405" i="4"/>
  <c r="F2405" i="4" s="1"/>
  <c r="B2404" i="4"/>
  <c r="A2404" i="4"/>
  <c r="F2404" i="4" s="1"/>
  <c r="B2403" i="4"/>
  <c r="A2403" i="4"/>
  <c r="F2403" i="4" s="1"/>
  <c r="B2402" i="4"/>
  <c r="A2402" i="4"/>
  <c r="F2402" i="4" s="1"/>
  <c r="B2401" i="4"/>
  <c r="A2401" i="4"/>
  <c r="F2401" i="4" s="1"/>
  <c r="B2400" i="4"/>
  <c r="A2400" i="4"/>
  <c r="F2400" i="4" s="1"/>
  <c r="B2399" i="4"/>
  <c r="A2399" i="4"/>
  <c r="F2399" i="4" s="1"/>
  <c r="B2398" i="4"/>
  <c r="A2398" i="4"/>
  <c r="F2398" i="4" s="1"/>
  <c r="B2397" i="4"/>
  <c r="A2397" i="4"/>
  <c r="F2397" i="4" s="1"/>
  <c r="B2396" i="4"/>
  <c r="A2396" i="4"/>
  <c r="F2396" i="4" s="1"/>
  <c r="B2395" i="4"/>
  <c r="A2395" i="4"/>
  <c r="F2395" i="4" s="1"/>
  <c r="B2394" i="4"/>
  <c r="A2394" i="4"/>
  <c r="F2394" i="4" s="1"/>
  <c r="B2393" i="4"/>
  <c r="A2393" i="4"/>
  <c r="F2393" i="4" s="1"/>
  <c r="B2392" i="4"/>
  <c r="A2392" i="4"/>
  <c r="F2392" i="4" s="1"/>
  <c r="B2391" i="4"/>
  <c r="A2391" i="4"/>
  <c r="F2391" i="4" s="1"/>
  <c r="B2390" i="4"/>
  <c r="A2390" i="4"/>
  <c r="F2390" i="4" s="1"/>
  <c r="B2389" i="4"/>
  <c r="A2389" i="4"/>
  <c r="F2389" i="4" s="1"/>
  <c r="B2388" i="4"/>
  <c r="A2388" i="4"/>
  <c r="F2388" i="4" s="1"/>
  <c r="B2387" i="4"/>
  <c r="A2387" i="4"/>
  <c r="F2387" i="4" s="1"/>
  <c r="B2386" i="4"/>
  <c r="A2386" i="4"/>
  <c r="F2386" i="4" s="1"/>
  <c r="B2385" i="4"/>
  <c r="A2385" i="4"/>
  <c r="F2385" i="4" s="1"/>
  <c r="B2384" i="4"/>
  <c r="A2384" i="4"/>
  <c r="F2384" i="4" s="1"/>
  <c r="B2383" i="4"/>
  <c r="A2383" i="4"/>
  <c r="F2383" i="4" s="1"/>
  <c r="B2382" i="4"/>
  <c r="A2382" i="4"/>
  <c r="F2382" i="4" s="1"/>
  <c r="B2381" i="4"/>
  <c r="A2381" i="4"/>
  <c r="F2381" i="4" s="1"/>
  <c r="B2380" i="4"/>
  <c r="A2380" i="4"/>
  <c r="F2380" i="4" s="1"/>
  <c r="B2379" i="4"/>
  <c r="A2379" i="4"/>
  <c r="F2379" i="4" s="1"/>
  <c r="B2378" i="4"/>
  <c r="A2378" i="4"/>
  <c r="F2378" i="4" s="1"/>
  <c r="B2377" i="4"/>
  <c r="A2377" i="4"/>
  <c r="F2377" i="4" s="1"/>
  <c r="B2376" i="4"/>
  <c r="A2376" i="4"/>
  <c r="F2376" i="4" s="1"/>
  <c r="B2375" i="4"/>
  <c r="A2375" i="4"/>
  <c r="F2375" i="4" s="1"/>
  <c r="B2374" i="4"/>
  <c r="A2374" i="4"/>
  <c r="F2374" i="4" s="1"/>
  <c r="B2373" i="4"/>
  <c r="A2373" i="4"/>
  <c r="F2373" i="4" s="1"/>
  <c r="B2372" i="4"/>
  <c r="A2372" i="4"/>
  <c r="F2372" i="4" s="1"/>
  <c r="B2371" i="4"/>
  <c r="A2371" i="4"/>
  <c r="F2371" i="4" s="1"/>
  <c r="B2370" i="4"/>
  <c r="A2370" i="4"/>
  <c r="F2370" i="4" s="1"/>
  <c r="B2369" i="4"/>
  <c r="A2369" i="4"/>
  <c r="F2369" i="4" s="1"/>
  <c r="B2368" i="4"/>
  <c r="A2368" i="4"/>
  <c r="F2368" i="4" s="1"/>
  <c r="B2367" i="4"/>
  <c r="A2367" i="4"/>
  <c r="F2367" i="4" s="1"/>
  <c r="B2366" i="4"/>
  <c r="A2366" i="4"/>
  <c r="F2366" i="4" s="1"/>
  <c r="B2365" i="4"/>
  <c r="A2365" i="4"/>
  <c r="F2365" i="4" s="1"/>
  <c r="B2364" i="4"/>
  <c r="A2364" i="4"/>
  <c r="F2364" i="4" s="1"/>
  <c r="B2363" i="4"/>
  <c r="A2363" i="4"/>
  <c r="F2363" i="4" s="1"/>
  <c r="B2362" i="4"/>
  <c r="A2362" i="4"/>
  <c r="F2362" i="4" s="1"/>
  <c r="B2361" i="4"/>
  <c r="A2361" i="4"/>
  <c r="F2361" i="4" s="1"/>
  <c r="B2360" i="4"/>
  <c r="A2360" i="4"/>
  <c r="F2360" i="4" s="1"/>
  <c r="B2359" i="4"/>
  <c r="A2359" i="4"/>
  <c r="F2359" i="4" s="1"/>
  <c r="B2358" i="4"/>
  <c r="A2358" i="4"/>
  <c r="F2358" i="4" s="1"/>
  <c r="B2357" i="4"/>
  <c r="A2357" i="4"/>
  <c r="F2357" i="4" s="1"/>
  <c r="B2356" i="4"/>
  <c r="A2356" i="4"/>
  <c r="F2356" i="4" s="1"/>
  <c r="B2355" i="4"/>
  <c r="A2355" i="4"/>
  <c r="F2355" i="4" s="1"/>
  <c r="B2354" i="4"/>
  <c r="A2354" i="4"/>
  <c r="F2354" i="4" s="1"/>
  <c r="B2353" i="4"/>
  <c r="A2353" i="4"/>
  <c r="F2353" i="4" s="1"/>
  <c r="B2352" i="4"/>
  <c r="A2352" i="4"/>
  <c r="F2352" i="4" s="1"/>
  <c r="B2351" i="4"/>
  <c r="A2351" i="4"/>
  <c r="F2351" i="4" s="1"/>
  <c r="B2350" i="4"/>
  <c r="A2350" i="4"/>
  <c r="F2350" i="4" s="1"/>
  <c r="B2349" i="4"/>
  <c r="A2349" i="4"/>
  <c r="F2349" i="4" s="1"/>
  <c r="B2348" i="4"/>
  <c r="A2348" i="4"/>
  <c r="F2348" i="4" s="1"/>
  <c r="B2347" i="4"/>
  <c r="A2347" i="4"/>
  <c r="F2347" i="4" s="1"/>
  <c r="B2346" i="4"/>
  <c r="A2346" i="4"/>
  <c r="F2346" i="4" s="1"/>
  <c r="B2345" i="4"/>
  <c r="A2345" i="4"/>
  <c r="F2345" i="4" s="1"/>
  <c r="B2344" i="4"/>
  <c r="A2344" i="4"/>
  <c r="F2344" i="4" s="1"/>
  <c r="B2343" i="4"/>
  <c r="A2343" i="4"/>
  <c r="F2343" i="4" s="1"/>
  <c r="B2342" i="4"/>
  <c r="A2342" i="4"/>
  <c r="F2342" i="4" s="1"/>
  <c r="B2341" i="4"/>
  <c r="A2341" i="4"/>
  <c r="F2341" i="4" s="1"/>
  <c r="B2340" i="4"/>
  <c r="A2340" i="4"/>
  <c r="F2340" i="4" s="1"/>
  <c r="B2339" i="4"/>
  <c r="A2339" i="4"/>
  <c r="F2339" i="4" s="1"/>
  <c r="B2338" i="4"/>
  <c r="A2338" i="4"/>
  <c r="F2338" i="4" s="1"/>
  <c r="B2337" i="4"/>
  <c r="A2337" i="4"/>
  <c r="F2337" i="4" s="1"/>
  <c r="B2336" i="4"/>
  <c r="A2336" i="4"/>
  <c r="F2336" i="4" s="1"/>
  <c r="B2335" i="4"/>
  <c r="A2335" i="4"/>
  <c r="F2335" i="4" s="1"/>
  <c r="B2334" i="4"/>
  <c r="A2334" i="4"/>
  <c r="F2334" i="4" s="1"/>
  <c r="B2333" i="4"/>
  <c r="A2333" i="4"/>
  <c r="F2333" i="4" s="1"/>
  <c r="B2332" i="4"/>
  <c r="A2332" i="4"/>
  <c r="F2332" i="4" s="1"/>
  <c r="B2331" i="4"/>
  <c r="A2331" i="4"/>
  <c r="F2331" i="4" s="1"/>
  <c r="B2330" i="4"/>
  <c r="A2330" i="4"/>
  <c r="F2330" i="4" s="1"/>
  <c r="B2329" i="4"/>
  <c r="A2329" i="4"/>
  <c r="F2329" i="4" s="1"/>
  <c r="B2328" i="4"/>
  <c r="A2328" i="4"/>
  <c r="F2328" i="4" s="1"/>
  <c r="B2327" i="4"/>
  <c r="A2327" i="4"/>
  <c r="F2327" i="4" s="1"/>
  <c r="B2326" i="4"/>
  <c r="A2326" i="4"/>
  <c r="F2326" i="4" s="1"/>
  <c r="B2325" i="4"/>
  <c r="A2325" i="4"/>
  <c r="F2325" i="4" s="1"/>
  <c r="B2324" i="4"/>
  <c r="A2324" i="4"/>
  <c r="F2324" i="4" s="1"/>
  <c r="B2323" i="4"/>
  <c r="A2323" i="4"/>
  <c r="F2323" i="4" s="1"/>
  <c r="B2322" i="4"/>
  <c r="A2322" i="4"/>
  <c r="F2322" i="4" s="1"/>
  <c r="B2321" i="4"/>
  <c r="A2321" i="4"/>
  <c r="F2321" i="4" s="1"/>
  <c r="B2320" i="4"/>
  <c r="A2320" i="4"/>
  <c r="F2320" i="4" s="1"/>
  <c r="B2319" i="4"/>
  <c r="A2319" i="4"/>
  <c r="F2319" i="4" s="1"/>
  <c r="B2318" i="4"/>
  <c r="A2318" i="4"/>
  <c r="F2318" i="4" s="1"/>
  <c r="B2317" i="4"/>
  <c r="A2317" i="4"/>
  <c r="F2317" i="4" s="1"/>
  <c r="B2316" i="4"/>
  <c r="A2316" i="4"/>
  <c r="F2316" i="4" s="1"/>
  <c r="B2315" i="4"/>
  <c r="A2315" i="4"/>
  <c r="F2315" i="4" s="1"/>
  <c r="B2314" i="4"/>
  <c r="A2314" i="4"/>
  <c r="F2314" i="4" s="1"/>
  <c r="B2313" i="4"/>
  <c r="A2313" i="4"/>
  <c r="F2313" i="4" s="1"/>
  <c r="B2312" i="4"/>
  <c r="B2311" i="4"/>
  <c r="B2310" i="4"/>
  <c r="B2309" i="4"/>
  <c r="A2309" i="4"/>
  <c r="F2309" i="4" s="1"/>
  <c r="B2308" i="4"/>
  <c r="A2308" i="4"/>
  <c r="F2308" i="4" s="1"/>
  <c r="B2307" i="4"/>
  <c r="A2307" i="4"/>
  <c r="F2307" i="4" s="1"/>
  <c r="B2306" i="4"/>
  <c r="B2305" i="4"/>
  <c r="B2304" i="4"/>
  <c r="B2303" i="4"/>
  <c r="A2303" i="4"/>
  <c r="F2303" i="4" s="1"/>
  <c r="B2302" i="4"/>
  <c r="A2302" i="4"/>
  <c r="F2302" i="4" s="1"/>
  <c r="B2301" i="4"/>
  <c r="A2301" i="4"/>
  <c r="F2301" i="4" s="1"/>
  <c r="B2300" i="4"/>
  <c r="B2299" i="4"/>
  <c r="B2298" i="4"/>
  <c r="B2297" i="4"/>
  <c r="A2297" i="4"/>
  <c r="F2297" i="4" s="1"/>
  <c r="B2296" i="4"/>
  <c r="A2296" i="4"/>
  <c r="F2296" i="4" s="1"/>
  <c r="B2295" i="4"/>
  <c r="A2295" i="4"/>
  <c r="F2295" i="4" s="1"/>
  <c r="B2294" i="4"/>
  <c r="B2293" i="4"/>
  <c r="B2292" i="4"/>
  <c r="B2291" i="4"/>
  <c r="A2291" i="4"/>
  <c r="F2291" i="4" s="1"/>
  <c r="B2290" i="4"/>
  <c r="A2290" i="4"/>
  <c r="F2290" i="4" s="1"/>
  <c r="B2289" i="4"/>
  <c r="A2289" i="4"/>
  <c r="F2289" i="4" s="1"/>
  <c r="B2288" i="4"/>
  <c r="A2288" i="4"/>
  <c r="F2288" i="4" s="1"/>
  <c r="B2287" i="4"/>
  <c r="A2287" i="4"/>
  <c r="F2287" i="4" s="1"/>
  <c r="B2286" i="4"/>
  <c r="A2286" i="4"/>
  <c r="F2286" i="4" s="1"/>
  <c r="B2285" i="4"/>
  <c r="A2285" i="4"/>
  <c r="F2285" i="4" s="1"/>
  <c r="B2284" i="4"/>
  <c r="A2284" i="4"/>
  <c r="F2284" i="4" s="1"/>
  <c r="B2283" i="4"/>
  <c r="A2283" i="4"/>
  <c r="F2283" i="4" s="1"/>
  <c r="B2282" i="4"/>
  <c r="A2282" i="4"/>
  <c r="F2282" i="4" s="1"/>
  <c r="B2281" i="4"/>
  <c r="A2281" i="4"/>
  <c r="F2281" i="4" s="1"/>
  <c r="B2280" i="4"/>
  <c r="A2280" i="4"/>
  <c r="F2280" i="4" s="1"/>
  <c r="B2279" i="4"/>
  <c r="A2279" i="4"/>
  <c r="F2279" i="4" s="1"/>
  <c r="B2278" i="4"/>
  <c r="A2278" i="4"/>
  <c r="F2278" i="4" s="1"/>
  <c r="B2277" i="4"/>
  <c r="A2277" i="4"/>
  <c r="F2277" i="4" s="1"/>
  <c r="B2276" i="4"/>
  <c r="A2276" i="4"/>
  <c r="F2276" i="4" s="1"/>
  <c r="B2275" i="4"/>
  <c r="A2275" i="4"/>
  <c r="F2275" i="4" s="1"/>
  <c r="B2274" i="4"/>
  <c r="A2274" i="4"/>
  <c r="F2274" i="4" s="1"/>
  <c r="B2273" i="4"/>
  <c r="A2273" i="4"/>
  <c r="F2273" i="4" s="1"/>
  <c r="B2272" i="4"/>
  <c r="A2272" i="4"/>
  <c r="F2272" i="4" s="1"/>
  <c r="B2271" i="4"/>
  <c r="A2271" i="4"/>
  <c r="F2271" i="4" s="1"/>
  <c r="B2270" i="4"/>
  <c r="A2270" i="4"/>
  <c r="F2270" i="4" s="1"/>
  <c r="B2269" i="4"/>
  <c r="A2269" i="4"/>
  <c r="F2269" i="4" s="1"/>
  <c r="B2268" i="4"/>
  <c r="A2268" i="4"/>
  <c r="F2268" i="4" s="1"/>
  <c r="B2267" i="4"/>
  <c r="A2267" i="4"/>
  <c r="F2267" i="4" s="1"/>
  <c r="B2266" i="4"/>
  <c r="A2266" i="4"/>
  <c r="F2266" i="4" s="1"/>
  <c r="B2265" i="4"/>
  <c r="A2265" i="4"/>
  <c r="F2265" i="4" s="1"/>
  <c r="B2264" i="4"/>
  <c r="A2264" i="4"/>
  <c r="F2264" i="4" s="1"/>
  <c r="B2263" i="4"/>
  <c r="A2263" i="4"/>
  <c r="F2263" i="4" s="1"/>
  <c r="B2262" i="4"/>
  <c r="A2262" i="4"/>
  <c r="F2262" i="4" s="1"/>
  <c r="B2261" i="4"/>
  <c r="A2261" i="4"/>
  <c r="F2261" i="4" s="1"/>
  <c r="B2260" i="4"/>
  <c r="A2260" i="4"/>
  <c r="F2260" i="4" s="1"/>
  <c r="B2259" i="4"/>
  <c r="A2259" i="4"/>
  <c r="F2259" i="4" s="1"/>
  <c r="B2258" i="4"/>
  <c r="A2258" i="4"/>
  <c r="F2258" i="4" s="1"/>
  <c r="B2257" i="4"/>
  <c r="A2257" i="4"/>
  <c r="F2257" i="4" s="1"/>
  <c r="B2256" i="4"/>
  <c r="A2256" i="4"/>
  <c r="F2256" i="4" s="1"/>
  <c r="B2255" i="4"/>
  <c r="A2255" i="4"/>
  <c r="F2255" i="4" s="1"/>
  <c r="B2254" i="4"/>
  <c r="A2254" i="4"/>
  <c r="F2254" i="4" s="1"/>
  <c r="B2253" i="4"/>
  <c r="A2253" i="4"/>
  <c r="F2253" i="4" s="1"/>
  <c r="B2252" i="4"/>
  <c r="A2252" i="4"/>
  <c r="F2252" i="4" s="1"/>
  <c r="B2251" i="4"/>
  <c r="A2251" i="4"/>
  <c r="F2251" i="4" s="1"/>
  <c r="B2250" i="4"/>
  <c r="A2250" i="4"/>
  <c r="F2250" i="4" s="1"/>
  <c r="B2249" i="4"/>
  <c r="A2249" i="4"/>
  <c r="F2249" i="4" s="1"/>
  <c r="B2248" i="4"/>
  <c r="A2248" i="4"/>
  <c r="F2248" i="4" s="1"/>
  <c r="B2247" i="4"/>
  <c r="A2247" i="4"/>
  <c r="F2247" i="4" s="1"/>
  <c r="B2246" i="4"/>
  <c r="A2246" i="4"/>
  <c r="F2246" i="4" s="1"/>
  <c r="B2245" i="4"/>
  <c r="A2245" i="4"/>
  <c r="F2245" i="4" s="1"/>
  <c r="B2244" i="4"/>
  <c r="A2244" i="4"/>
  <c r="F2244" i="4" s="1"/>
  <c r="B2243" i="4"/>
  <c r="A2243" i="4"/>
  <c r="F2243" i="4" s="1"/>
  <c r="B2242" i="4"/>
  <c r="A2242" i="4"/>
  <c r="F2242" i="4" s="1"/>
  <c r="B2241" i="4"/>
  <c r="A2241" i="4"/>
  <c r="F2241" i="4" s="1"/>
  <c r="B2240" i="4"/>
  <c r="A2240" i="4"/>
  <c r="F2240" i="4" s="1"/>
  <c r="B2239" i="4"/>
  <c r="A2239" i="4"/>
  <c r="F2239" i="4" s="1"/>
  <c r="B2238" i="4"/>
  <c r="A2238" i="4"/>
  <c r="F2238" i="4" s="1"/>
  <c r="B2237" i="4"/>
  <c r="A2237" i="4"/>
  <c r="F2237" i="4" s="1"/>
  <c r="B2236" i="4"/>
  <c r="A2236" i="4"/>
  <c r="F2236" i="4" s="1"/>
  <c r="B2235" i="4"/>
  <c r="A2235" i="4"/>
  <c r="F2235" i="4" s="1"/>
  <c r="B2234" i="4"/>
  <c r="A2234" i="4"/>
  <c r="F2234" i="4" s="1"/>
  <c r="B2233" i="4"/>
  <c r="A2233" i="4"/>
  <c r="F2233" i="4" s="1"/>
  <c r="B2232" i="4"/>
  <c r="A2232" i="4"/>
  <c r="F2232" i="4" s="1"/>
  <c r="B2231" i="4"/>
  <c r="A2231" i="4"/>
  <c r="F2231" i="4" s="1"/>
  <c r="B2230" i="4"/>
  <c r="A2230" i="4"/>
  <c r="F2230" i="4" s="1"/>
  <c r="B2229" i="4"/>
  <c r="A2229" i="4"/>
  <c r="F2229" i="4" s="1"/>
  <c r="B2228" i="4"/>
  <c r="A2228" i="4"/>
  <c r="F2228" i="4" s="1"/>
  <c r="B2227" i="4"/>
  <c r="A2227" i="4"/>
  <c r="F2227" i="4" s="1"/>
  <c r="B2226" i="4"/>
  <c r="A2226" i="4"/>
  <c r="F2226" i="4" s="1"/>
  <c r="B2225" i="4"/>
  <c r="A2225" i="4"/>
  <c r="F2225" i="4" s="1"/>
  <c r="B2224" i="4"/>
  <c r="A2224" i="4"/>
  <c r="F2224" i="4" s="1"/>
  <c r="B2223" i="4"/>
  <c r="A2223" i="4"/>
  <c r="F2223" i="4" s="1"/>
  <c r="B2222" i="4"/>
  <c r="A2222" i="4"/>
  <c r="F2222" i="4" s="1"/>
  <c r="B2221" i="4"/>
  <c r="A2221" i="4"/>
  <c r="F2221" i="4" s="1"/>
  <c r="B2220" i="4"/>
  <c r="A2220" i="4"/>
  <c r="F2220" i="4" s="1"/>
  <c r="B2219" i="4"/>
  <c r="A2219" i="4"/>
  <c r="F2219" i="4" s="1"/>
  <c r="B2218" i="4"/>
  <c r="A2218" i="4"/>
  <c r="F2218" i="4" s="1"/>
  <c r="B2217" i="4"/>
  <c r="A2217" i="4"/>
  <c r="F2217" i="4" s="1"/>
  <c r="B2216" i="4"/>
  <c r="A2216" i="4"/>
  <c r="F2216" i="4" s="1"/>
  <c r="B2215" i="4"/>
  <c r="A2215" i="4"/>
  <c r="F2215" i="4" s="1"/>
  <c r="B2214" i="4"/>
  <c r="A2214" i="4"/>
  <c r="F2214" i="4" s="1"/>
  <c r="B2213" i="4"/>
  <c r="A2213" i="4"/>
  <c r="F2213" i="4" s="1"/>
  <c r="B2212" i="4"/>
  <c r="A2212" i="4"/>
  <c r="F2212" i="4" s="1"/>
  <c r="B2211" i="4"/>
  <c r="A2211" i="4"/>
  <c r="F2211" i="4" s="1"/>
  <c r="B2210" i="4"/>
  <c r="A2210" i="4"/>
  <c r="F2210" i="4" s="1"/>
  <c r="B2209" i="4"/>
  <c r="A2209" i="4"/>
  <c r="F2209" i="4" s="1"/>
  <c r="B2208" i="4"/>
  <c r="A2208" i="4"/>
  <c r="F2208" i="4" s="1"/>
  <c r="B2207" i="4"/>
  <c r="A2207" i="4"/>
  <c r="F2207" i="4" s="1"/>
  <c r="B2206" i="4"/>
  <c r="A2206" i="4"/>
  <c r="F2206" i="4" s="1"/>
  <c r="B2205" i="4"/>
  <c r="A2205" i="4"/>
  <c r="F2205" i="4" s="1"/>
  <c r="B2204" i="4"/>
  <c r="A2204" i="4"/>
  <c r="F2204" i="4" s="1"/>
  <c r="B2203" i="4"/>
  <c r="A2203" i="4"/>
  <c r="F2203" i="4" s="1"/>
  <c r="B2202" i="4"/>
  <c r="A2202" i="4"/>
  <c r="F2202" i="4" s="1"/>
  <c r="B2201" i="4"/>
  <c r="A2201" i="4"/>
  <c r="F2201" i="4" s="1"/>
  <c r="B2200" i="4"/>
  <c r="A2200" i="4"/>
  <c r="F2200" i="4" s="1"/>
  <c r="B2199" i="4"/>
  <c r="A2199" i="4"/>
  <c r="F2199" i="4" s="1"/>
  <c r="B2198" i="4"/>
  <c r="A2198" i="4"/>
  <c r="F2198" i="4" s="1"/>
  <c r="B2197" i="4"/>
  <c r="A2197" i="4"/>
  <c r="F2197" i="4" s="1"/>
  <c r="B2196" i="4"/>
  <c r="A2196" i="4"/>
  <c r="F2196" i="4" s="1"/>
  <c r="B2195" i="4"/>
  <c r="A2195" i="4"/>
  <c r="F2195" i="4" s="1"/>
  <c r="B2194" i="4"/>
  <c r="A2194" i="4"/>
  <c r="F2194" i="4" s="1"/>
  <c r="B2193" i="4"/>
  <c r="A2193" i="4"/>
  <c r="F2193" i="4" s="1"/>
  <c r="B2192" i="4"/>
  <c r="A2192" i="4"/>
  <c r="F2192" i="4" s="1"/>
  <c r="B2191" i="4"/>
  <c r="A2191" i="4"/>
  <c r="F2191" i="4" s="1"/>
  <c r="B2190" i="4"/>
  <c r="A2190" i="4"/>
  <c r="F2190" i="4" s="1"/>
  <c r="B2189" i="4"/>
  <c r="A2189" i="4"/>
  <c r="F2189" i="4" s="1"/>
  <c r="B2188" i="4"/>
  <c r="A2188" i="4"/>
  <c r="F2188" i="4" s="1"/>
  <c r="B2187" i="4"/>
  <c r="A2187" i="4"/>
  <c r="F2187" i="4" s="1"/>
  <c r="B2186" i="4"/>
  <c r="A2186" i="4"/>
  <c r="F2186" i="4" s="1"/>
  <c r="B2185" i="4"/>
  <c r="A2185" i="4"/>
  <c r="F2185" i="4" s="1"/>
  <c r="B2184" i="4"/>
  <c r="A2184" i="4"/>
  <c r="F2184" i="4" s="1"/>
  <c r="B2183" i="4"/>
  <c r="A2183" i="4"/>
  <c r="F2183" i="4" s="1"/>
  <c r="B2182" i="4"/>
  <c r="A2182" i="4"/>
  <c r="F2182" i="4" s="1"/>
  <c r="B2181" i="4"/>
  <c r="A2181" i="4"/>
  <c r="F2181" i="4" s="1"/>
  <c r="B2180" i="4"/>
  <c r="A2180" i="4"/>
  <c r="F2180" i="4" s="1"/>
  <c r="B2179" i="4"/>
  <c r="A2179" i="4"/>
  <c r="F2179" i="4" s="1"/>
  <c r="B2178" i="4"/>
  <c r="A2178" i="4"/>
  <c r="F2178" i="4" s="1"/>
  <c r="B2177" i="4"/>
  <c r="A2177" i="4"/>
  <c r="F2177" i="4" s="1"/>
  <c r="B2176" i="4"/>
  <c r="A2176" i="4"/>
  <c r="F2176" i="4" s="1"/>
  <c r="B2175" i="4"/>
  <c r="A2175" i="4"/>
  <c r="F2175" i="4" s="1"/>
  <c r="B2174" i="4"/>
  <c r="A2174" i="4"/>
  <c r="F2174" i="4" s="1"/>
  <c r="B2173" i="4"/>
  <c r="A2173" i="4"/>
  <c r="F2173" i="4" s="1"/>
  <c r="B2172" i="4"/>
  <c r="A2172" i="4"/>
  <c r="F2172" i="4" s="1"/>
  <c r="B2171" i="4"/>
  <c r="A2171" i="4"/>
  <c r="F2171" i="4" s="1"/>
  <c r="B2170" i="4"/>
  <c r="A2170" i="4"/>
  <c r="F2170" i="4" s="1"/>
  <c r="B2169" i="4"/>
  <c r="A2169" i="4"/>
  <c r="F2169" i="4" s="1"/>
  <c r="B2168" i="4"/>
  <c r="A2168" i="4"/>
  <c r="F2168" i="4" s="1"/>
  <c r="B2167" i="4"/>
  <c r="A2167" i="4"/>
  <c r="F2167" i="4" s="1"/>
  <c r="B2166" i="4"/>
  <c r="A2166" i="4"/>
  <c r="F2166" i="4" s="1"/>
  <c r="B2165" i="4"/>
  <c r="A2165" i="4"/>
  <c r="F2165" i="4" s="1"/>
  <c r="B2164" i="4"/>
  <c r="A2164" i="4"/>
  <c r="F2164" i="4" s="1"/>
  <c r="B2163" i="4"/>
  <c r="A2163" i="4"/>
  <c r="F2163" i="4" s="1"/>
  <c r="B2162" i="4"/>
  <c r="A2162" i="4"/>
  <c r="F2162" i="4" s="1"/>
  <c r="B2161" i="4"/>
  <c r="A2161" i="4"/>
  <c r="F2161" i="4" s="1"/>
  <c r="B2160" i="4"/>
  <c r="A2160" i="4"/>
  <c r="F2160" i="4" s="1"/>
  <c r="B2159" i="4"/>
  <c r="A2159" i="4"/>
  <c r="F2159" i="4" s="1"/>
  <c r="B2158" i="4"/>
  <c r="A2158" i="4"/>
  <c r="F2158" i="4" s="1"/>
  <c r="B2157" i="4"/>
  <c r="A2157" i="4"/>
  <c r="F2157" i="4" s="1"/>
  <c r="B2156" i="4"/>
  <c r="A2156" i="4"/>
  <c r="F2156" i="4" s="1"/>
  <c r="B2155" i="4"/>
  <c r="A2155" i="4"/>
  <c r="F2155" i="4" s="1"/>
  <c r="B2154" i="4"/>
  <c r="A2154" i="4"/>
  <c r="F2154" i="4" s="1"/>
  <c r="B2153" i="4"/>
  <c r="A2153" i="4"/>
  <c r="F2153" i="4" s="1"/>
  <c r="B2152" i="4"/>
  <c r="A2152" i="4"/>
  <c r="F2152" i="4" s="1"/>
  <c r="B2151" i="4"/>
  <c r="A2151" i="4"/>
  <c r="F2151" i="4" s="1"/>
  <c r="B2150" i="4"/>
  <c r="A2150" i="4"/>
  <c r="F2150" i="4" s="1"/>
  <c r="B2149" i="4"/>
  <c r="A2149" i="4"/>
  <c r="F2149" i="4" s="1"/>
  <c r="B2148" i="4"/>
  <c r="A2148" i="4"/>
  <c r="F2148" i="4" s="1"/>
  <c r="B2147" i="4"/>
  <c r="A2147" i="4"/>
  <c r="F2147" i="4" s="1"/>
  <c r="B2146" i="4"/>
  <c r="A2146" i="4"/>
  <c r="F2146" i="4" s="1"/>
  <c r="B2145" i="4"/>
  <c r="A2145" i="4"/>
  <c r="F2145" i="4" s="1"/>
  <c r="B2144" i="4"/>
  <c r="A2144" i="4"/>
  <c r="F2144" i="4" s="1"/>
  <c r="B2143" i="4"/>
  <c r="A2143" i="4"/>
  <c r="F2143" i="4" s="1"/>
  <c r="B2142" i="4"/>
  <c r="A2142" i="4"/>
  <c r="F2142" i="4" s="1"/>
  <c r="B2141" i="4"/>
  <c r="A2141" i="4"/>
  <c r="F2141" i="4" s="1"/>
  <c r="B2140" i="4"/>
  <c r="A2140" i="4"/>
  <c r="F2140" i="4" s="1"/>
  <c r="B2139" i="4"/>
  <c r="A2139" i="4"/>
  <c r="F2139" i="4" s="1"/>
  <c r="B2138" i="4"/>
  <c r="A2138" i="4"/>
  <c r="F2138" i="4" s="1"/>
  <c r="B2137" i="4"/>
  <c r="A2137" i="4"/>
  <c r="F2137" i="4" s="1"/>
  <c r="B2136" i="4"/>
  <c r="A2136" i="4"/>
  <c r="F2136" i="4" s="1"/>
  <c r="B2135" i="4"/>
  <c r="A2135" i="4"/>
  <c r="F2135" i="4" s="1"/>
  <c r="B2134" i="4"/>
  <c r="A2134" i="4"/>
  <c r="F2134" i="4" s="1"/>
  <c r="B2133" i="4"/>
  <c r="A2133" i="4"/>
  <c r="F2133" i="4" s="1"/>
  <c r="B2132" i="4"/>
  <c r="A2132" i="4"/>
  <c r="F2132" i="4" s="1"/>
  <c r="B2131" i="4"/>
  <c r="A2131" i="4"/>
  <c r="F2131" i="4" s="1"/>
  <c r="B2130" i="4"/>
  <c r="A2130" i="4"/>
  <c r="F2130" i="4" s="1"/>
  <c r="B2129" i="4"/>
  <c r="A2129" i="4"/>
  <c r="F2129" i="4" s="1"/>
  <c r="B2128" i="4"/>
  <c r="A2128" i="4"/>
  <c r="F2128" i="4" s="1"/>
  <c r="B2127" i="4"/>
  <c r="A2127" i="4"/>
  <c r="F2127" i="4" s="1"/>
  <c r="B2126" i="4"/>
  <c r="A2126" i="4"/>
  <c r="F2126" i="4" s="1"/>
  <c r="B2125" i="4"/>
  <c r="A2125" i="4"/>
  <c r="F2125" i="4" s="1"/>
  <c r="B2124" i="4"/>
  <c r="A2124" i="4"/>
  <c r="F2124" i="4" s="1"/>
  <c r="B2123" i="4"/>
  <c r="A2123" i="4"/>
  <c r="F2123" i="4" s="1"/>
  <c r="B2122" i="4"/>
  <c r="A2122" i="4"/>
  <c r="F2122" i="4" s="1"/>
  <c r="B2121" i="4"/>
  <c r="A2121" i="4"/>
  <c r="F2121" i="4" s="1"/>
  <c r="B2120" i="4"/>
  <c r="A2120" i="4"/>
  <c r="F2120" i="4" s="1"/>
  <c r="B2119" i="4"/>
  <c r="A2119" i="4"/>
  <c r="F2119" i="4" s="1"/>
  <c r="B2118" i="4"/>
  <c r="A2118" i="4"/>
  <c r="F2118" i="4" s="1"/>
  <c r="B2117" i="4"/>
  <c r="A2117" i="4"/>
  <c r="F2117" i="4" s="1"/>
  <c r="B2116" i="4"/>
  <c r="A2116" i="4"/>
  <c r="F2116" i="4" s="1"/>
  <c r="B2115" i="4"/>
  <c r="A2115" i="4"/>
  <c r="F2115" i="4" s="1"/>
  <c r="B2114" i="4"/>
  <c r="A2114" i="4"/>
  <c r="F2114" i="4" s="1"/>
  <c r="B2113" i="4"/>
  <c r="A2113" i="4"/>
  <c r="F2113" i="4" s="1"/>
  <c r="B2112" i="4"/>
  <c r="A2112" i="4"/>
  <c r="F2112" i="4" s="1"/>
  <c r="B2111" i="4"/>
  <c r="A2111" i="4"/>
  <c r="F2111" i="4" s="1"/>
  <c r="B2110" i="4"/>
  <c r="A2110" i="4"/>
  <c r="F2110" i="4" s="1"/>
  <c r="B2109" i="4"/>
  <c r="A2109" i="4"/>
  <c r="F2109" i="4" s="1"/>
  <c r="B2108" i="4"/>
  <c r="A2108" i="4"/>
  <c r="F2108" i="4" s="1"/>
  <c r="B2107" i="4"/>
  <c r="A2107" i="4"/>
  <c r="F2107" i="4" s="1"/>
  <c r="B2106" i="4"/>
  <c r="A2106" i="4"/>
  <c r="F2106" i="4" s="1"/>
  <c r="B2105" i="4"/>
  <c r="A2105" i="4"/>
  <c r="F2105" i="4" s="1"/>
  <c r="B2104" i="4"/>
  <c r="A2104" i="4"/>
  <c r="F2104" i="4" s="1"/>
  <c r="B2103" i="4"/>
  <c r="A2103" i="4"/>
  <c r="F2103" i="4" s="1"/>
  <c r="B2102" i="4"/>
  <c r="A2102" i="4"/>
  <c r="F2102" i="4" s="1"/>
  <c r="B2101" i="4"/>
  <c r="A2101" i="4"/>
  <c r="F2101" i="4" s="1"/>
  <c r="B2100" i="4"/>
  <c r="A2100" i="4"/>
  <c r="F2100" i="4" s="1"/>
  <c r="B2099" i="4"/>
  <c r="A2099" i="4"/>
  <c r="F2099" i="4" s="1"/>
  <c r="B2098" i="4"/>
  <c r="A2098" i="4"/>
  <c r="F2098" i="4" s="1"/>
  <c r="B2097" i="4"/>
  <c r="A2097" i="4"/>
  <c r="F2097" i="4" s="1"/>
  <c r="B2096" i="4"/>
  <c r="A2096" i="4"/>
  <c r="F2096" i="4" s="1"/>
  <c r="B2095" i="4"/>
  <c r="A2095" i="4"/>
  <c r="F2095" i="4" s="1"/>
  <c r="B2094" i="4"/>
  <c r="A2094" i="4"/>
  <c r="F2094" i="4" s="1"/>
  <c r="B2093" i="4"/>
  <c r="A2093" i="4"/>
  <c r="F2093" i="4" s="1"/>
  <c r="B2092" i="4"/>
  <c r="A2092" i="4"/>
  <c r="F2092" i="4" s="1"/>
  <c r="B2091" i="4"/>
  <c r="A2091" i="4"/>
  <c r="F2091" i="4" s="1"/>
  <c r="B2090" i="4"/>
  <c r="A2090" i="4"/>
  <c r="F2090" i="4" s="1"/>
  <c r="B2089" i="4"/>
  <c r="A2089" i="4"/>
  <c r="F2089" i="4" s="1"/>
  <c r="B2088" i="4"/>
  <c r="A2088" i="4"/>
  <c r="F2088" i="4" s="1"/>
  <c r="B2087" i="4"/>
  <c r="A2087" i="4"/>
  <c r="F2087" i="4" s="1"/>
  <c r="B2086" i="4"/>
  <c r="A2086" i="4"/>
  <c r="F2086" i="4" s="1"/>
  <c r="B2085" i="4"/>
  <c r="A2085" i="4"/>
  <c r="F2085" i="4" s="1"/>
  <c r="B2084" i="4"/>
  <c r="A2084" i="4"/>
  <c r="F2084" i="4" s="1"/>
  <c r="B2083" i="4"/>
  <c r="A2083" i="4"/>
  <c r="F2083" i="4" s="1"/>
  <c r="B2082" i="4"/>
  <c r="A2082" i="4"/>
  <c r="F2082" i="4" s="1"/>
  <c r="B2081" i="4"/>
  <c r="A2081" i="4"/>
  <c r="F2081" i="4" s="1"/>
  <c r="B2080" i="4"/>
  <c r="A2080" i="4"/>
  <c r="F2080" i="4" s="1"/>
  <c r="B2079" i="4"/>
  <c r="A2079" i="4"/>
  <c r="F2079" i="4" s="1"/>
  <c r="B2078" i="4"/>
  <c r="A2078" i="4"/>
  <c r="F2078" i="4" s="1"/>
  <c r="B2077" i="4"/>
  <c r="A2077" i="4"/>
  <c r="F2077" i="4" s="1"/>
  <c r="B2076" i="4"/>
  <c r="A2076" i="4"/>
  <c r="F2076" i="4" s="1"/>
  <c r="B2075" i="4"/>
  <c r="A2075" i="4"/>
  <c r="F2075" i="4" s="1"/>
  <c r="B2074" i="4"/>
  <c r="A2074" i="4"/>
  <c r="F2074" i="4" s="1"/>
  <c r="B2073" i="4"/>
  <c r="A2073" i="4"/>
  <c r="F2073" i="4" s="1"/>
  <c r="B2072" i="4"/>
  <c r="A2072" i="4"/>
  <c r="F2072" i="4" s="1"/>
  <c r="B2071" i="4"/>
  <c r="A2071" i="4"/>
  <c r="F2071" i="4" s="1"/>
  <c r="B2070" i="4"/>
  <c r="A2070" i="4"/>
  <c r="F2070" i="4" s="1"/>
  <c r="B2069" i="4"/>
  <c r="A2069" i="4"/>
  <c r="F2069" i="4" s="1"/>
  <c r="B2068" i="4"/>
  <c r="A2068" i="4"/>
  <c r="F2068" i="4" s="1"/>
  <c r="B2067" i="4"/>
  <c r="A2067" i="4"/>
  <c r="F2067" i="4" s="1"/>
  <c r="B2066" i="4"/>
  <c r="A2066" i="4"/>
  <c r="F2066" i="4" s="1"/>
  <c r="B2065" i="4"/>
  <c r="A2065" i="4"/>
  <c r="F2065" i="4" s="1"/>
  <c r="B2064" i="4"/>
  <c r="A2064" i="4"/>
  <c r="F2064" i="4" s="1"/>
  <c r="B2063" i="4"/>
  <c r="A2063" i="4"/>
  <c r="F2063" i="4" s="1"/>
  <c r="B2062" i="4"/>
  <c r="A2062" i="4"/>
  <c r="F2062" i="4" s="1"/>
  <c r="B2061" i="4"/>
  <c r="A2061" i="4"/>
  <c r="F2061" i="4" s="1"/>
  <c r="B2060" i="4"/>
  <c r="A2060" i="4"/>
  <c r="F2060" i="4" s="1"/>
  <c r="B2059" i="4"/>
  <c r="A2059" i="4"/>
  <c r="F2059" i="4" s="1"/>
  <c r="B2058" i="4"/>
  <c r="A2058" i="4"/>
  <c r="F2058" i="4" s="1"/>
  <c r="B2057" i="4"/>
  <c r="A2057" i="4"/>
  <c r="F2057" i="4" s="1"/>
  <c r="B2056" i="4"/>
  <c r="A2056" i="4"/>
  <c r="F2056" i="4" s="1"/>
  <c r="B2055" i="4"/>
  <c r="A2055" i="4"/>
  <c r="F2055" i="4" s="1"/>
  <c r="B2054" i="4"/>
  <c r="A2054" i="4"/>
  <c r="F2054" i="4" s="1"/>
  <c r="B2053" i="4"/>
  <c r="A2053" i="4"/>
  <c r="F2053" i="4" s="1"/>
  <c r="B2052" i="4"/>
  <c r="A2052" i="4"/>
  <c r="F2052" i="4" s="1"/>
  <c r="B2051" i="4"/>
  <c r="A2051" i="4"/>
  <c r="F2051" i="4" s="1"/>
  <c r="B2050" i="4"/>
  <c r="A2050" i="4"/>
  <c r="F2050" i="4" s="1"/>
  <c r="B2049" i="4"/>
  <c r="A2049" i="4"/>
  <c r="F2049" i="4" s="1"/>
  <c r="B2048" i="4"/>
  <c r="A2048" i="4"/>
  <c r="F2048" i="4" s="1"/>
  <c r="B2047" i="4"/>
  <c r="A2047" i="4"/>
  <c r="F2047" i="4" s="1"/>
  <c r="B2046" i="4"/>
  <c r="A2046" i="4"/>
  <c r="F2046" i="4" s="1"/>
  <c r="B2045" i="4"/>
  <c r="A2045" i="4"/>
  <c r="F2045" i="4" s="1"/>
  <c r="B2044" i="4"/>
  <c r="A2044" i="4"/>
  <c r="F2044" i="4" s="1"/>
  <c r="B2043" i="4"/>
  <c r="A2043" i="4"/>
  <c r="F2043" i="4" s="1"/>
  <c r="B2042" i="4"/>
  <c r="A2042" i="4"/>
  <c r="F2042" i="4" s="1"/>
  <c r="B2041" i="4"/>
  <c r="A2041" i="4"/>
  <c r="F2041" i="4" s="1"/>
  <c r="B2040" i="4"/>
  <c r="A2040" i="4"/>
  <c r="F2040" i="4" s="1"/>
  <c r="B2039" i="4"/>
  <c r="A2039" i="4"/>
  <c r="F2039" i="4" s="1"/>
  <c r="B2038" i="4"/>
  <c r="A2038" i="4"/>
  <c r="F2038" i="4" s="1"/>
  <c r="B2037" i="4"/>
  <c r="A2037" i="4"/>
  <c r="F2037" i="4" s="1"/>
  <c r="B2036" i="4"/>
  <c r="A2036" i="4"/>
  <c r="F2036" i="4" s="1"/>
  <c r="B2035" i="4"/>
  <c r="A2035" i="4"/>
  <c r="F2035" i="4" s="1"/>
  <c r="B2034" i="4"/>
  <c r="A2034" i="4"/>
  <c r="F2034" i="4" s="1"/>
  <c r="B2033" i="4"/>
  <c r="A2033" i="4"/>
  <c r="F2033" i="4" s="1"/>
  <c r="B2032" i="4"/>
  <c r="A2032" i="4"/>
  <c r="F2032" i="4" s="1"/>
  <c r="B2031" i="4"/>
  <c r="A2031" i="4"/>
  <c r="F2031" i="4" s="1"/>
  <c r="B2030" i="4"/>
  <c r="A2030" i="4"/>
  <c r="F2030" i="4" s="1"/>
  <c r="B2029" i="4"/>
  <c r="A2029" i="4"/>
  <c r="F2029" i="4" s="1"/>
  <c r="B2028" i="4"/>
  <c r="A2028" i="4"/>
  <c r="F2028" i="4" s="1"/>
  <c r="B2027" i="4"/>
  <c r="A2027" i="4"/>
  <c r="F2027" i="4" s="1"/>
  <c r="B2026" i="4"/>
  <c r="A2026" i="4"/>
  <c r="F2026" i="4" s="1"/>
  <c r="B2025" i="4"/>
  <c r="A2025" i="4"/>
  <c r="F2025" i="4" s="1"/>
  <c r="B2024" i="4"/>
  <c r="A2024" i="4"/>
  <c r="F2024" i="4" s="1"/>
  <c r="B2023" i="4"/>
  <c r="A2023" i="4"/>
  <c r="F2023" i="4" s="1"/>
  <c r="B2022" i="4"/>
  <c r="A2022" i="4"/>
  <c r="F2022" i="4" s="1"/>
  <c r="B2021" i="4"/>
  <c r="A2021" i="4"/>
  <c r="F2021" i="4" s="1"/>
  <c r="B2020" i="4"/>
  <c r="A2020" i="4"/>
  <c r="F2020" i="4" s="1"/>
  <c r="B2019" i="4"/>
  <c r="A2019" i="4"/>
  <c r="F2019" i="4" s="1"/>
  <c r="B2018" i="4"/>
  <c r="A2018" i="4"/>
  <c r="F2018" i="4" s="1"/>
  <c r="B2017" i="4"/>
  <c r="A2017" i="4"/>
  <c r="F2017" i="4" s="1"/>
  <c r="B2016" i="4"/>
  <c r="A2016" i="4"/>
  <c r="F2016" i="4" s="1"/>
  <c r="B2015" i="4"/>
  <c r="A2015" i="4"/>
  <c r="F2015" i="4" s="1"/>
  <c r="B2014" i="4"/>
  <c r="A2014" i="4"/>
  <c r="F2014" i="4" s="1"/>
  <c r="B2013" i="4"/>
  <c r="A2013" i="4"/>
  <c r="F2013" i="4" s="1"/>
  <c r="B2012" i="4"/>
  <c r="A2012" i="4"/>
  <c r="F2012" i="4" s="1"/>
  <c r="B2011" i="4"/>
  <c r="A2011" i="4"/>
  <c r="F2011" i="4" s="1"/>
  <c r="B2010" i="4"/>
  <c r="A2010" i="4"/>
  <c r="F2010" i="4" s="1"/>
  <c r="B2009" i="4"/>
  <c r="A2009" i="4"/>
  <c r="F2009" i="4" s="1"/>
  <c r="B2008" i="4"/>
  <c r="A2008" i="4"/>
  <c r="F2008" i="4" s="1"/>
  <c r="B2007" i="4"/>
  <c r="A2007" i="4"/>
  <c r="F2007" i="4" s="1"/>
  <c r="B2006" i="4"/>
  <c r="A2006" i="4"/>
  <c r="F2006" i="4" s="1"/>
  <c r="B2005" i="4"/>
  <c r="A2005" i="4"/>
  <c r="F2005" i="4" s="1"/>
  <c r="B2004" i="4"/>
  <c r="A2004" i="4"/>
  <c r="F2004" i="4" s="1"/>
  <c r="B2003" i="4"/>
  <c r="A2003" i="4"/>
  <c r="F2003" i="4" s="1"/>
  <c r="B2002" i="4"/>
  <c r="A2002" i="4"/>
  <c r="F2002" i="4" s="1"/>
  <c r="B2001" i="4"/>
  <c r="A2001" i="4"/>
  <c r="F2001" i="4" s="1"/>
  <c r="B2000" i="4"/>
  <c r="A2000" i="4"/>
  <c r="F2000" i="4" s="1"/>
  <c r="B1999" i="4"/>
  <c r="A1999" i="4"/>
  <c r="F1999" i="4" s="1"/>
  <c r="B1998" i="4"/>
  <c r="A1998" i="4"/>
  <c r="F1998" i="4" s="1"/>
  <c r="B1997" i="4"/>
  <c r="A1997" i="4"/>
  <c r="F1997" i="4" s="1"/>
  <c r="B1996" i="4"/>
  <c r="A1996" i="4"/>
  <c r="F1996" i="4" s="1"/>
  <c r="B1995" i="4"/>
  <c r="A1995" i="4"/>
  <c r="F1995" i="4" s="1"/>
  <c r="B1994" i="4"/>
  <c r="A1994" i="4"/>
  <c r="F1994" i="4" s="1"/>
  <c r="B1993" i="4"/>
  <c r="A1993" i="4"/>
  <c r="F1993" i="4" s="1"/>
  <c r="B1992" i="4"/>
  <c r="A1992" i="4"/>
  <c r="F1992" i="4" s="1"/>
  <c r="B1991" i="4"/>
  <c r="A1991" i="4"/>
  <c r="F1991" i="4" s="1"/>
  <c r="B1990" i="4"/>
  <c r="A1990" i="4"/>
  <c r="F1990" i="4" s="1"/>
  <c r="B1989" i="4"/>
  <c r="A1989" i="4"/>
  <c r="F1989" i="4" s="1"/>
  <c r="B1988" i="4"/>
  <c r="A1988" i="4"/>
  <c r="F1988" i="4" s="1"/>
  <c r="B1987" i="4"/>
  <c r="A1987" i="4"/>
  <c r="F1987" i="4" s="1"/>
  <c r="B1986" i="4"/>
  <c r="A1986" i="4"/>
  <c r="F1986" i="4" s="1"/>
  <c r="B1985" i="4"/>
  <c r="A1985" i="4"/>
  <c r="F1985" i="4" s="1"/>
  <c r="B1984" i="4"/>
  <c r="A1984" i="4"/>
  <c r="F1984" i="4" s="1"/>
  <c r="B1983" i="4"/>
  <c r="A1983" i="4"/>
  <c r="F1983" i="4" s="1"/>
  <c r="B1982" i="4"/>
  <c r="A1982" i="4"/>
  <c r="F1982" i="4" s="1"/>
  <c r="B1981" i="4"/>
  <c r="A1981" i="4"/>
  <c r="F1981" i="4" s="1"/>
  <c r="B1980" i="4"/>
  <c r="A1980" i="4"/>
  <c r="F1980" i="4" s="1"/>
  <c r="B1979" i="4"/>
  <c r="A1979" i="4"/>
  <c r="F1979" i="4" s="1"/>
  <c r="B1978" i="4"/>
  <c r="A1978" i="4"/>
  <c r="F1978" i="4" s="1"/>
  <c r="B1977" i="4"/>
  <c r="A1977" i="4"/>
  <c r="F1977" i="4" s="1"/>
  <c r="B1976" i="4"/>
  <c r="A1976" i="4"/>
  <c r="F1976" i="4" s="1"/>
  <c r="B1975" i="4"/>
  <c r="A1975" i="4"/>
  <c r="F1975" i="4" s="1"/>
  <c r="B1974" i="4"/>
  <c r="A1974" i="4"/>
  <c r="F1974" i="4" s="1"/>
  <c r="B1973" i="4"/>
  <c r="A1973" i="4"/>
  <c r="F1973" i="4" s="1"/>
  <c r="B1972" i="4"/>
  <c r="A1972" i="4"/>
  <c r="F1972" i="4" s="1"/>
  <c r="B1971" i="4"/>
  <c r="A1971" i="4"/>
  <c r="F1971" i="4" s="1"/>
  <c r="B1970" i="4"/>
  <c r="A1970" i="4"/>
  <c r="F1970" i="4" s="1"/>
  <c r="B1969" i="4"/>
  <c r="A1969" i="4"/>
  <c r="F1969" i="4" s="1"/>
  <c r="B1968" i="4"/>
  <c r="A1968" i="4"/>
  <c r="F1968" i="4" s="1"/>
  <c r="B1967" i="4"/>
  <c r="A1967" i="4"/>
  <c r="F1967" i="4" s="1"/>
  <c r="B1966" i="4"/>
  <c r="A1966" i="4"/>
  <c r="F1966" i="4" s="1"/>
  <c r="B1965" i="4"/>
  <c r="A1965" i="4"/>
  <c r="F1965" i="4" s="1"/>
  <c r="B1964" i="4"/>
  <c r="A1964" i="4"/>
  <c r="F1964" i="4" s="1"/>
  <c r="B1963" i="4"/>
  <c r="A1963" i="4"/>
  <c r="F1963" i="4" s="1"/>
  <c r="B1962" i="4"/>
  <c r="A1962" i="4"/>
  <c r="F1962" i="4" s="1"/>
  <c r="B1961" i="4"/>
  <c r="A1961" i="4"/>
  <c r="F1961" i="4" s="1"/>
  <c r="B1960" i="4"/>
  <c r="A1960" i="4"/>
  <c r="F1960" i="4" s="1"/>
  <c r="B1959" i="4"/>
  <c r="A1959" i="4"/>
  <c r="F1959" i="4" s="1"/>
  <c r="B1958" i="4"/>
  <c r="A1958" i="4"/>
  <c r="F1958" i="4" s="1"/>
  <c r="B1957" i="4"/>
  <c r="A1957" i="4"/>
  <c r="F1957" i="4" s="1"/>
  <c r="B1956" i="4"/>
  <c r="A1956" i="4"/>
  <c r="F1956" i="4" s="1"/>
  <c r="B1955" i="4"/>
  <c r="A1955" i="4"/>
  <c r="F1955" i="4" s="1"/>
  <c r="B1954" i="4"/>
  <c r="A1954" i="4"/>
  <c r="F1954" i="4" s="1"/>
  <c r="B1953" i="4"/>
  <c r="A1953" i="4"/>
  <c r="F1953" i="4" s="1"/>
  <c r="B1952" i="4"/>
  <c r="A1952" i="4"/>
  <c r="F1952" i="4" s="1"/>
  <c r="B1951" i="4"/>
  <c r="A1951" i="4"/>
  <c r="F1951" i="4" s="1"/>
  <c r="B1950" i="4"/>
  <c r="A1950" i="4"/>
  <c r="F1950" i="4" s="1"/>
  <c r="B1949" i="4"/>
  <c r="A1949" i="4"/>
  <c r="F1949" i="4" s="1"/>
  <c r="B1948" i="4"/>
  <c r="A1948" i="4"/>
  <c r="F1948" i="4" s="1"/>
  <c r="B1947" i="4"/>
  <c r="A1947" i="4"/>
  <c r="F1947" i="4" s="1"/>
  <c r="B1946" i="4"/>
  <c r="A1946" i="4"/>
  <c r="F1946" i="4" s="1"/>
  <c r="B1945" i="4"/>
  <c r="A1945" i="4"/>
  <c r="F1945" i="4" s="1"/>
  <c r="B1944" i="4"/>
  <c r="A1944" i="4"/>
  <c r="F1944" i="4" s="1"/>
  <c r="B1943" i="4"/>
  <c r="A1943" i="4"/>
  <c r="F1943" i="4" s="1"/>
  <c r="B1942" i="4"/>
  <c r="A1942" i="4"/>
  <c r="F1942" i="4" s="1"/>
  <c r="B1941" i="4"/>
  <c r="A1941" i="4"/>
  <c r="F1941" i="4" s="1"/>
  <c r="B1940" i="4"/>
  <c r="A1940" i="4"/>
  <c r="F1940" i="4" s="1"/>
  <c r="B1939" i="4"/>
  <c r="A1939" i="4"/>
  <c r="F1939" i="4" s="1"/>
  <c r="B1938" i="4"/>
  <c r="A1938" i="4"/>
  <c r="F1938" i="4" s="1"/>
  <c r="B1937" i="4"/>
  <c r="A1937" i="4"/>
  <c r="F1937" i="4" s="1"/>
  <c r="B1936" i="4"/>
  <c r="A1936" i="4"/>
  <c r="F1936" i="4" s="1"/>
  <c r="B1935" i="4"/>
  <c r="A1935" i="4"/>
  <c r="F1935" i="4" s="1"/>
  <c r="B1934" i="4"/>
  <c r="A1934" i="4"/>
  <c r="F1934" i="4" s="1"/>
  <c r="B1933" i="4"/>
  <c r="A1933" i="4"/>
  <c r="F1933" i="4" s="1"/>
  <c r="B1932" i="4"/>
  <c r="A1932" i="4"/>
  <c r="F1932" i="4" s="1"/>
  <c r="B1931" i="4"/>
  <c r="A1931" i="4"/>
  <c r="F1931" i="4" s="1"/>
  <c r="B1930" i="4"/>
  <c r="A1930" i="4"/>
  <c r="F1930" i="4" s="1"/>
  <c r="B1929" i="4"/>
  <c r="A1929" i="4"/>
  <c r="F1929" i="4" s="1"/>
  <c r="B1928" i="4"/>
  <c r="A1928" i="4"/>
  <c r="F1928" i="4" s="1"/>
  <c r="B1927" i="4"/>
  <c r="A1927" i="4"/>
  <c r="F1927" i="4" s="1"/>
  <c r="B1926" i="4"/>
  <c r="A1926" i="4"/>
  <c r="F1926" i="4" s="1"/>
  <c r="B1925" i="4"/>
  <c r="A1925" i="4"/>
  <c r="F1925" i="4" s="1"/>
  <c r="B1924" i="4"/>
  <c r="A1924" i="4"/>
  <c r="F1924" i="4" s="1"/>
  <c r="B1923" i="4"/>
  <c r="A1923" i="4"/>
  <c r="F1923" i="4" s="1"/>
  <c r="B1922" i="4"/>
  <c r="A1922" i="4"/>
  <c r="F1922" i="4" s="1"/>
  <c r="B1921" i="4"/>
  <c r="A1921" i="4"/>
  <c r="F1921" i="4" s="1"/>
  <c r="B1920" i="4"/>
  <c r="A1920" i="4"/>
  <c r="F1920" i="4" s="1"/>
  <c r="B1919" i="4"/>
  <c r="A1919" i="4"/>
  <c r="F1919" i="4" s="1"/>
  <c r="B1918" i="4"/>
  <c r="A1918" i="4"/>
  <c r="F1918" i="4" s="1"/>
  <c r="B1917" i="4"/>
  <c r="A1917" i="4"/>
  <c r="F1917" i="4" s="1"/>
  <c r="B1916" i="4"/>
  <c r="A1916" i="4"/>
  <c r="F1916" i="4" s="1"/>
  <c r="B1915" i="4"/>
  <c r="A1915" i="4"/>
  <c r="F1915" i="4" s="1"/>
  <c r="B1914" i="4"/>
  <c r="A1914" i="4"/>
  <c r="F1914" i="4" s="1"/>
  <c r="B1913" i="4"/>
  <c r="A1913" i="4"/>
  <c r="F1913" i="4" s="1"/>
  <c r="B1912" i="4"/>
  <c r="A1912" i="4"/>
  <c r="F1912" i="4" s="1"/>
  <c r="B1911" i="4"/>
  <c r="A1911" i="4"/>
  <c r="F1911" i="4" s="1"/>
  <c r="B1910" i="4"/>
  <c r="A1910" i="4"/>
  <c r="F1910" i="4" s="1"/>
  <c r="B1909" i="4"/>
  <c r="A1909" i="4"/>
  <c r="F1909" i="4" s="1"/>
  <c r="B1908" i="4"/>
  <c r="A1908" i="4"/>
  <c r="F1908" i="4" s="1"/>
  <c r="B1907" i="4"/>
  <c r="A1907" i="4"/>
  <c r="F1907" i="4" s="1"/>
  <c r="B1906" i="4"/>
  <c r="A1906" i="4"/>
  <c r="F1906" i="4" s="1"/>
  <c r="B1905" i="4"/>
  <c r="A1905" i="4"/>
  <c r="F1905" i="4" s="1"/>
  <c r="B1904" i="4"/>
  <c r="A1904" i="4"/>
  <c r="F1904" i="4" s="1"/>
  <c r="B1903" i="4"/>
  <c r="A1903" i="4"/>
  <c r="F1903" i="4" s="1"/>
  <c r="B1902" i="4"/>
  <c r="A1902" i="4"/>
  <c r="F1902" i="4" s="1"/>
  <c r="B1901" i="4"/>
  <c r="A1901" i="4"/>
  <c r="F1901" i="4" s="1"/>
  <c r="B1900" i="4"/>
  <c r="A1900" i="4"/>
  <c r="F1900" i="4" s="1"/>
  <c r="B1899" i="4"/>
  <c r="A1899" i="4"/>
  <c r="F1899" i="4" s="1"/>
  <c r="B1898" i="4"/>
  <c r="A1898" i="4"/>
  <c r="F1898" i="4" s="1"/>
  <c r="B1897" i="4"/>
  <c r="A1897" i="4"/>
  <c r="F1897" i="4" s="1"/>
  <c r="B1896" i="4"/>
  <c r="A1896" i="4"/>
  <c r="F1896" i="4" s="1"/>
  <c r="B1895" i="4"/>
  <c r="A1895" i="4"/>
  <c r="F1895" i="4" s="1"/>
  <c r="B1894" i="4"/>
  <c r="A1894" i="4"/>
  <c r="F1894" i="4" s="1"/>
  <c r="B1893" i="4"/>
  <c r="A1893" i="4"/>
  <c r="F1893" i="4" s="1"/>
  <c r="B1892" i="4"/>
  <c r="A1892" i="4"/>
  <c r="F1892" i="4" s="1"/>
  <c r="B1891" i="4"/>
  <c r="A1891" i="4"/>
  <c r="F1891" i="4" s="1"/>
  <c r="B1890" i="4"/>
  <c r="A1890" i="4"/>
  <c r="F1890" i="4" s="1"/>
  <c r="B1889" i="4"/>
  <c r="A1889" i="4"/>
  <c r="F1889" i="4" s="1"/>
  <c r="B1888" i="4"/>
  <c r="A1888" i="4"/>
  <c r="F1888" i="4" s="1"/>
  <c r="B1887" i="4"/>
  <c r="A1887" i="4"/>
  <c r="F1887" i="4" s="1"/>
  <c r="B1886" i="4"/>
  <c r="A1886" i="4"/>
  <c r="F1886" i="4" s="1"/>
  <c r="B1885" i="4"/>
  <c r="A1885" i="4"/>
  <c r="F1885" i="4" s="1"/>
  <c r="B1884" i="4"/>
  <c r="A1884" i="4"/>
  <c r="F1884" i="4" s="1"/>
  <c r="B1883" i="4"/>
  <c r="A1883" i="4"/>
  <c r="F1883" i="4" s="1"/>
  <c r="B1882" i="4"/>
  <c r="A1882" i="4"/>
  <c r="F1882" i="4" s="1"/>
  <c r="B1881" i="4"/>
  <c r="A1881" i="4"/>
  <c r="F1881" i="4" s="1"/>
  <c r="B1880" i="4"/>
  <c r="A1880" i="4"/>
  <c r="F1880" i="4" s="1"/>
  <c r="B1879" i="4"/>
  <c r="A1879" i="4"/>
  <c r="F1879" i="4" s="1"/>
  <c r="B1878" i="4"/>
  <c r="A1878" i="4"/>
  <c r="F1878" i="4" s="1"/>
  <c r="B1877" i="4"/>
  <c r="A1877" i="4"/>
  <c r="F1877" i="4" s="1"/>
  <c r="B1876" i="4"/>
  <c r="A1876" i="4"/>
  <c r="F1876" i="4" s="1"/>
  <c r="B1875" i="4"/>
  <c r="A1875" i="4"/>
  <c r="F1875" i="4" s="1"/>
  <c r="B1874" i="4"/>
  <c r="A1874" i="4"/>
  <c r="F1874" i="4" s="1"/>
  <c r="B1873" i="4"/>
  <c r="A1873" i="4"/>
  <c r="F1873" i="4" s="1"/>
  <c r="B1872" i="4"/>
  <c r="A1872" i="4"/>
  <c r="F1872" i="4" s="1"/>
  <c r="B1871" i="4"/>
  <c r="A1871" i="4"/>
  <c r="F1871" i="4" s="1"/>
  <c r="B1870" i="4"/>
  <c r="A1870" i="4"/>
  <c r="F1870" i="4" s="1"/>
  <c r="B1869" i="4"/>
  <c r="A1869" i="4"/>
  <c r="F1869" i="4" s="1"/>
  <c r="B1868" i="4"/>
  <c r="A1868" i="4"/>
  <c r="F1868" i="4" s="1"/>
  <c r="B1867" i="4"/>
  <c r="A1867" i="4"/>
  <c r="F1867" i="4" s="1"/>
  <c r="B1866" i="4"/>
  <c r="A1866" i="4"/>
  <c r="F1866" i="4" s="1"/>
  <c r="B1865" i="4"/>
  <c r="A1865" i="4"/>
  <c r="F1865" i="4" s="1"/>
  <c r="B1864" i="4"/>
  <c r="A1864" i="4"/>
  <c r="F1864" i="4" s="1"/>
  <c r="B1863" i="4"/>
  <c r="A1863" i="4"/>
  <c r="F1863" i="4" s="1"/>
  <c r="B1862" i="4"/>
  <c r="A1862" i="4"/>
  <c r="F1862" i="4" s="1"/>
  <c r="B1861" i="4"/>
  <c r="A1861" i="4"/>
  <c r="F1861" i="4" s="1"/>
  <c r="B1860" i="4"/>
  <c r="A1860" i="4"/>
  <c r="F1860" i="4" s="1"/>
  <c r="B1859" i="4"/>
  <c r="A1859" i="4"/>
  <c r="F1859" i="4" s="1"/>
  <c r="B1858" i="4"/>
  <c r="A1858" i="4"/>
  <c r="F1858" i="4" s="1"/>
  <c r="B1857" i="4"/>
  <c r="A1857" i="4"/>
  <c r="F1857" i="4" s="1"/>
  <c r="B1856" i="4"/>
  <c r="A1856" i="4"/>
  <c r="F1856" i="4" s="1"/>
  <c r="B1855" i="4"/>
  <c r="A1855" i="4"/>
  <c r="F1855" i="4" s="1"/>
  <c r="B1854" i="4"/>
  <c r="A1854" i="4"/>
  <c r="F1854" i="4" s="1"/>
  <c r="B1853" i="4"/>
  <c r="A1853" i="4"/>
  <c r="F1853" i="4" s="1"/>
  <c r="B1852" i="4"/>
  <c r="A1852" i="4"/>
  <c r="F1852" i="4" s="1"/>
  <c r="B1851" i="4"/>
  <c r="A1851" i="4"/>
  <c r="F1851" i="4" s="1"/>
  <c r="B1850" i="4"/>
  <c r="A1850" i="4"/>
  <c r="F1850" i="4" s="1"/>
  <c r="B1849" i="4"/>
  <c r="A1849" i="4"/>
  <c r="F1849" i="4" s="1"/>
  <c r="B1848" i="4"/>
  <c r="A1848" i="4"/>
  <c r="F1848" i="4" s="1"/>
  <c r="B1847" i="4"/>
  <c r="A1847" i="4"/>
  <c r="F1847" i="4" s="1"/>
  <c r="B1846" i="4"/>
  <c r="A1846" i="4"/>
  <c r="F1846" i="4" s="1"/>
  <c r="B1845" i="4"/>
  <c r="A1845" i="4"/>
  <c r="F1845" i="4" s="1"/>
  <c r="B1844" i="4"/>
  <c r="A1844" i="4"/>
  <c r="F1844" i="4" s="1"/>
  <c r="B1843" i="4"/>
  <c r="A1843" i="4"/>
  <c r="F1843" i="4" s="1"/>
  <c r="B1842" i="4"/>
  <c r="A1842" i="4"/>
  <c r="F1842" i="4" s="1"/>
  <c r="B1841" i="4"/>
  <c r="A1841" i="4"/>
  <c r="F1841" i="4" s="1"/>
  <c r="B1840" i="4"/>
  <c r="A1840" i="4"/>
  <c r="F1840" i="4" s="1"/>
  <c r="B1839" i="4"/>
  <c r="A1839" i="4"/>
  <c r="F1839" i="4" s="1"/>
  <c r="B1838" i="4"/>
  <c r="A1838" i="4"/>
  <c r="F1838" i="4" s="1"/>
  <c r="B1837" i="4"/>
  <c r="A1837" i="4"/>
  <c r="F1837" i="4" s="1"/>
  <c r="B1836" i="4"/>
  <c r="A1836" i="4"/>
  <c r="F1836" i="4" s="1"/>
  <c r="B1835" i="4"/>
  <c r="A1835" i="4"/>
  <c r="F1835" i="4" s="1"/>
  <c r="B1834" i="4"/>
  <c r="A1834" i="4"/>
  <c r="F1834" i="4" s="1"/>
  <c r="B1833" i="4"/>
  <c r="A1833" i="4"/>
  <c r="F1833" i="4" s="1"/>
  <c r="B1832" i="4"/>
  <c r="A1832" i="4"/>
  <c r="F1832" i="4" s="1"/>
  <c r="B1831" i="4"/>
  <c r="A1831" i="4"/>
  <c r="F1831" i="4" s="1"/>
  <c r="B1830" i="4"/>
  <c r="A1830" i="4"/>
  <c r="F1830" i="4" s="1"/>
  <c r="B1829" i="4"/>
  <c r="A1829" i="4"/>
  <c r="F1829" i="4" s="1"/>
  <c r="B1828" i="4"/>
  <c r="A1828" i="4"/>
  <c r="F1828" i="4" s="1"/>
  <c r="B1827" i="4"/>
  <c r="A1827" i="4"/>
  <c r="F1827" i="4" s="1"/>
  <c r="B1826" i="4"/>
  <c r="A1826" i="4"/>
  <c r="F1826" i="4" s="1"/>
  <c r="B1825" i="4"/>
  <c r="A1825" i="4"/>
  <c r="F1825" i="4" s="1"/>
  <c r="B1824" i="4"/>
  <c r="A1824" i="4"/>
  <c r="F1824" i="4" s="1"/>
  <c r="B1823" i="4"/>
  <c r="A1823" i="4"/>
  <c r="F1823" i="4" s="1"/>
  <c r="B1822" i="4"/>
  <c r="A1822" i="4"/>
  <c r="F1822" i="4" s="1"/>
  <c r="B1821" i="4"/>
  <c r="A1821" i="4"/>
  <c r="F1821" i="4" s="1"/>
  <c r="B1820" i="4"/>
  <c r="A1820" i="4"/>
  <c r="F1820" i="4" s="1"/>
  <c r="B1819" i="4"/>
  <c r="A1819" i="4"/>
  <c r="F1819" i="4" s="1"/>
  <c r="B1818" i="4"/>
  <c r="A1818" i="4"/>
  <c r="F1818" i="4" s="1"/>
  <c r="B1817" i="4"/>
  <c r="A1817" i="4"/>
  <c r="F1817" i="4" s="1"/>
  <c r="B1816" i="4"/>
  <c r="A1816" i="4"/>
  <c r="F1816" i="4" s="1"/>
  <c r="B1815" i="4"/>
  <c r="A1815" i="4"/>
  <c r="F1815" i="4" s="1"/>
  <c r="B1814" i="4"/>
  <c r="A1814" i="4"/>
  <c r="F1814" i="4" s="1"/>
  <c r="B1813" i="4"/>
  <c r="A1813" i="4"/>
  <c r="F1813" i="4" s="1"/>
  <c r="B1812" i="4"/>
  <c r="A1812" i="4"/>
  <c r="F1812" i="4" s="1"/>
  <c r="B1811" i="4"/>
  <c r="A1811" i="4"/>
  <c r="F1811" i="4" s="1"/>
  <c r="B1810" i="4"/>
  <c r="A1810" i="4"/>
  <c r="F1810" i="4" s="1"/>
  <c r="B1809" i="4"/>
  <c r="A1809" i="4"/>
  <c r="F1809" i="4" s="1"/>
  <c r="B1808" i="4"/>
  <c r="A1808" i="4"/>
  <c r="F1808" i="4" s="1"/>
  <c r="B1807" i="4"/>
  <c r="A1807" i="4"/>
  <c r="F1807" i="4" s="1"/>
  <c r="B1806" i="4"/>
  <c r="A1806" i="4"/>
  <c r="F1806" i="4" s="1"/>
  <c r="B1805" i="4"/>
  <c r="A1805" i="4"/>
  <c r="F1805" i="4" s="1"/>
  <c r="B1804" i="4"/>
  <c r="A1804" i="4"/>
  <c r="F1804" i="4" s="1"/>
  <c r="B1803" i="4"/>
  <c r="A1803" i="4"/>
  <c r="F1803" i="4" s="1"/>
  <c r="B1802" i="4"/>
  <c r="A1802" i="4"/>
  <c r="F1802" i="4" s="1"/>
  <c r="B1801" i="4"/>
  <c r="A1801" i="4"/>
  <c r="F1801" i="4" s="1"/>
  <c r="B1800" i="4"/>
  <c r="A1800" i="4"/>
  <c r="F1800" i="4" s="1"/>
  <c r="B1799" i="4"/>
  <c r="A1799" i="4"/>
  <c r="F1799" i="4" s="1"/>
  <c r="B1798" i="4"/>
  <c r="A1798" i="4"/>
  <c r="F1798" i="4" s="1"/>
  <c r="B1797" i="4"/>
  <c r="A1797" i="4"/>
  <c r="F1797" i="4" s="1"/>
  <c r="B1796" i="4"/>
  <c r="A1796" i="4"/>
  <c r="F1796" i="4" s="1"/>
  <c r="B1795" i="4"/>
  <c r="A1795" i="4"/>
  <c r="F1795" i="4" s="1"/>
  <c r="B1794" i="4"/>
  <c r="A1794" i="4"/>
  <c r="F1794" i="4" s="1"/>
  <c r="B1793" i="4"/>
  <c r="A1793" i="4"/>
  <c r="F1793" i="4" s="1"/>
  <c r="B1792" i="4"/>
  <c r="A1792" i="4"/>
  <c r="F1792" i="4" s="1"/>
  <c r="B1791" i="4"/>
  <c r="A1791" i="4"/>
  <c r="F1791" i="4" s="1"/>
  <c r="B1790" i="4"/>
  <c r="A1790" i="4"/>
  <c r="F1790" i="4" s="1"/>
  <c r="B1789" i="4"/>
  <c r="A1789" i="4"/>
  <c r="F1789" i="4" s="1"/>
  <c r="B1788" i="4"/>
  <c r="A1788" i="4"/>
  <c r="F1788" i="4" s="1"/>
  <c r="B1787" i="4"/>
  <c r="A1787" i="4"/>
  <c r="F1787" i="4" s="1"/>
  <c r="B1786" i="4"/>
  <c r="A1786" i="4"/>
  <c r="F1786" i="4" s="1"/>
  <c r="B1785" i="4"/>
  <c r="A1785" i="4"/>
  <c r="F1785" i="4" s="1"/>
  <c r="B1784" i="4"/>
  <c r="A1784" i="4"/>
  <c r="F1784" i="4" s="1"/>
  <c r="B1783" i="4"/>
  <c r="A1783" i="4"/>
  <c r="F1783" i="4" s="1"/>
  <c r="B1782" i="4"/>
  <c r="A1782" i="4"/>
  <c r="F1782" i="4" s="1"/>
  <c r="B1781" i="4"/>
  <c r="A1781" i="4"/>
  <c r="F1781" i="4" s="1"/>
  <c r="B1780" i="4"/>
  <c r="A1780" i="4"/>
  <c r="F1780" i="4" s="1"/>
  <c r="B1779" i="4"/>
  <c r="A1779" i="4"/>
  <c r="F1779" i="4" s="1"/>
  <c r="B1778" i="4"/>
  <c r="A1778" i="4"/>
  <c r="F1778" i="4" s="1"/>
  <c r="B1777" i="4"/>
  <c r="A1777" i="4"/>
  <c r="F1777" i="4" s="1"/>
  <c r="B1776" i="4"/>
  <c r="A1776" i="4"/>
  <c r="F1776" i="4" s="1"/>
  <c r="B1775" i="4"/>
  <c r="A1775" i="4"/>
  <c r="F1775" i="4" s="1"/>
  <c r="B1774" i="4"/>
  <c r="A1774" i="4"/>
  <c r="F1774" i="4" s="1"/>
  <c r="B1773" i="4"/>
  <c r="A1773" i="4"/>
  <c r="F1773" i="4" s="1"/>
  <c r="B1772" i="4"/>
  <c r="A1772" i="4"/>
  <c r="F1772" i="4" s="1"/>
  <c r="B1771" i="4"/>
  <c r="A1771" i="4"/>
  <c r="F1771" i="4" s="1"/>
  <c r="B1770" i="4"/>
  <c r="A1770" i="4"/>
  <c r="F1770" i="4" s="1"/>
  <c r="B1769" i="4"/>
  <c r="A1769" i="4"/>
  <c r="F1769" i="4" s="1"/>
  <c r="B1768" i="4"/>
  <c r="A1768" i="4"/>
  <c r="F1768" i="4" s="1"/>
  <c r="B1767" i="4"/>
  <c r="A1767" i="4"/>
  <c r="F1767" i="4" s="1"/>
  <c r="B1766" i="4"/>
  <c r="A1766" i="4"/>
  <c r="F1766" i="4" s="1"/>
  <c r="B1765" i="4"/>
  <c r="A1765" i="4"/>
  <c r="F1765" i="4" s="1"/>
  <c r="B1764" i="4"/>
  <c r="A1764" i="4"/>
  <c r="F1764" i="4" s="1"/>
  <c r="B1763" i="4"/>
  <c r="A1763" i="4"/>
  <c r="F1763" i="4" s="1"/>
  <c r="B1762" i="4"/>
  <c r="A1762" i="4"/>
  <c r="F1762" i="4" s="1"/>
  <c r="B1761" i="4"/>
  <c r="A1761" i="4"/>
  <c r="F1761" i="4" s="1"/>
  <c r="B1760" i="4"/>
  <c r="A1760" i="4"/>
  <c r="F1760" i="4" s="1"/>
  <c r="B1759" i="4"/>
  <c r="A1759" i="4"/>
  <c r="F1759" i="4" s="1"/>
  <c r="B1758" i="4"/>
  <c r="A1758" i="4"/>
  <c r="F1758" i="4" s="1"/>
  <c r="B1757" i="4"/>
  <c r="A1757" i="4"/>
  <c r="F1757" i="4" s="1"/>
  <c r="B1756" i="4"/>
  <c r="A1756" i="4"/>
  <c r="F1756" i="4" s="1"/>
  <c r="B1755" i="4"/>
  <c r="A1755" i="4"/>
  <c r="F1755" i="4" s="1"/>
  <c r="B1754" i="4"/>
  <c r="A1754" i="4"/>
  <c r="F1754" i="4" s="1"/>
  <c r="B1753" i="4"/>
  <c r="A1753" i="4"/>
  <c r="F1753" i="4" s="1"/>
  <c r="B1752" i="4"/>
  <c r="A1752" i="4"/>
  <c r="F1752" i="4" s="1"/>
  <c r="B1751" i="4"/>
  <c r="A1751" i="4"/>
  <c r="F1751" i="4" s="1"/>
  <c r="B1750" i="4"/>
  <c r="A1750" i="4"/>
  <c r="F1750" i="4" s="1"/>
  <c r="B1749" i="4"/>
  <c r="A1749" i="4"/>
  <c r="F1749" i="4" s="1"/>
  <c r="B1748" i="4"/>
  <c r="A1748" i="4"/>
  <c r="F1748" i="4" s="1"/>
  <c r="B1747" i="4"/>
  <c r="A1747" i="4"/>
  <c r="F1747" i="4" s="1"/>
  <c r="B1746" i="4"/>
  <c r="A1746" i="4"/>
  <c r="F1746" i="4" s="1"/>
  <c r="B1745" i="4"/>
  <c r="A1745" i="4"/>
  <c r="F1745" i="4" s="1"/>
  <c r="B1744" i="4"/>
  <c r="A1744" i="4"/>
  <c r="F1744" i="4" s="1"/>
  <c r="B1743" i="4"/>
  <c r="A1743" i="4"/>
  <c r="F1743" i="4" s="1"/>
  <c r="B1742" i="4"/>
  <c r="A1742" i="4"/>
  <c r="F1742" i="4" s="1"/>
  <c r="B1741" i="4"/>
  <c r="A1741" i="4"/>
  <c r="F1741" i="4" s="1"/>
  <c r="B1740" i="4"/>
  <c r="A1740" i="4"/>
  <c r="F1740" i="4" s="1"/>
  <c r="B1739" i="4"/>
  <c r="A1739" i="4"/>
  <c r="F1739" i="4" s="1"/>
  <c r="B1738" i="4"/>
  <c r="A1738" i="4"/>
  <c r="F1738" i="4" s="1"/>
  <c r="B1737" i="4"/>
  <c r="A1737" i="4"/>
  <c r="F1737" i="4" s="1"/>
  <c r="B1736" i="4"/>
  <c r="A1736" i="4"/>
  <c r="F1736" i="4" s="1"/>
  <c r="B1735" i="4"/>
  <c r="A1735" i="4"/>
  <c r="F1735" i="4" s="1"/>
  <c r="B1734" i="4"/>
  <c r="A1734" i="4"/>
  <c r="F1734" i="4" s="1"/>
  <c r="B1733" i="4"/>
  <c r="A1733" i="4"/>
  <c r="F1733" i="4" s="1"/>
  <c r="B1732" i="4"/>
  <c r="A1732" i="4"/>
  <c r="F1732" i="4" s="1"/>
  <c r="B1731" i="4"/>
  <c r="A1731" i="4"/>
  <c r="F1731" i="4" s="1"/>
  <c r="B1730" i="4"/>
  <c r="A1730" i="4"/>
  <c r="F1730" i="4" s="1"/>
  <c r="B1729" i="4"/>
  <c r="A1729" i="4"/>
  <c r="F1729" i="4" s="1"/>
  <c r="B1728" i="4"/>
  <c r="A1728" i="4"/>
  <c r="F1728" i="4" s="1"/>
  <c r="B1727" i="4"/>
  <c r="A1727" i="4"/>
  <c r="F1727" i="4" s="1"/>
  <c r="B1726" i="4"/>
  <c r="A1726" i="4"/>
  <c r="F1726" i="4" s="1"/>
  <c r="B1725" i="4"/>
  <c r="A1725" i="4"/>
  <c r="F1725" i="4" s="1"/>
  <c r="B1724" i="4"/>
  <c r="A1724" i="4"/>
  <c r="F1724" i="4" s="1"/>
  <c r="B1723" i="4"/>
  <c r="A1723" i="4"/>
  <c r="F1723" i="4" s="1"/>
  <c r="B1722" i="4"/>
  <c r="A1722" i="4"/>
  <c r="F1722" i="4" s="1"/>
  <c r="B1721" i="4"/>
  <c r="A1721" i="4"/>
  <c r="F1721" i="4" s="1"/>
  <c r="B1720" i="4"/>
  <c r="A1720" i="4"/>
  <c r="F1720" i="4" s="1"/>
  <c r="B1719" i="4"/>
  <c r="A1719" i="4"/>
  <c r="F1719" i="4" s="1"/>
  <c r="B1718" i="4"/>
  <c r="A1718" i="4"/>
  <c r="F1718" i="4" s="1"/>
  <c r="B1717" i="4"/>
  <c r="A1717" i="4"/>
  <c r="F1717" i="4" s="1"/>
  <c r="B1716" i="4"/>
  <c r="A1716" i="4"/>
  <c r="F1716" i="4" s="1"/>
  <c r="B1715" i="4"/>
  <c r="A1715" i="4"/>
  <c r="F1715" i="4" s="1"/>
  <c r="B1714" i="4"/>
  <c r="A1714" i="4"/>
  <c r="F1714" i="4" s="1"/>
  <c r="B1713" i="4"/>
  <c r="A1713" i="4"/>
  <c r="F1713" i="4" s="1"/>
  <c r="B1712" i="4"/>
  <c r="A1712" i="4"/>
  <c r="F1712" i="4" s="1"/>
  <c r="B1711" i="4"/>
  <c r="A1711" i="4"/>
  <c r="F1711" i="4" s="1"/>
  <c r="B1710" i="4"/>
  <c r="A1710" i="4"/>
  <c r="F1710" i="4" s="1"/>
  <c r="B1709" i="4"/>
  <c r="A1709" i="4"/>
  <c r="F1709" i="4" s="1"/>
  <c r="B1708" i="4"/>
  <c r="A1708" i="4"/>
  <c r="F1708" i="4" s="1"/>
  <c r="B1707" i="4"/>
  <c r="A1707" i="4"/>
  <c r="F1707" i="4" s="1"/>
  <c r="B1706" i="4"/>
  <c r="A1706" i="4"/>
  <c r="F1706" i="4" s="1"/>
  <c r="B1705" i="4"/>
  <c r="A1705" i="4"/>
  <c r="F1705" i="4" s="1"/>
  <c r="B1704" i="4"/>
  <c r="A1704" i="4"/>
  <c r="F1704" i="4" s="1"/>
  <c r="B1703" i="4"/>
  <c r="A1703" i="4"/>
  <c r="F1703" i="4" s="1"/>
  <c r="B1702" i="4"/>
  <c r="A1702" i="4"/>
  <c r="F1702" i="4" s="1"/>
  <c r="B1701" i="4"/>
  <c r="A1701" i="4"/>
  <c r="F1701" i="4" s="1"/>
  <c r="B1700" i="4"/>
  <c r="A1700" i="4"/>
  <c r="F1700" i="4" s="1"/>
  <c r="B1699" i="4"/>
  <c r="A1699" i="4"/>
  <c r="F1699" i="4" s="1"/>
  <c r="B1698" i="4"/>
  <c r="A1698" i="4"/>
  <c r="F1698" i="4" s="1"/>
  <c r="B1697" i="4"/>
  <c r="A1697" i="4"/>
  <c r="F1697" i="4" s="1"/>
  <c r="B1696" i="4"/>
  <c r="A1696" i="4"/>
  <c r="F1696" i="4" s="1"/>
  <c r="B1695" i="4"/>
  <c r="A1695" i="4"/>
  <c r="F1695" i="4" s="1"/>
  <c r="B1694" i="4"/>
  <c r="A1694" i="4"/>
  <c r="F1694" i="4" s="1"/>
  <c r="B1693" i="4"/>
  <c r="A1693" i="4"/>
  <c r="F1693" i="4" s="1"/>
  <c r="B1692" i="4"/>
  <c r="A1692" i="4"/>
  <c r="F1692" i="4" s="1"/>
  <c r="B1691" i="4"/>
  <c r="A1691" i="4"/>
  <c r="F1691" i="4" s="1"/>
  <c r="B1690" i="4"/>
  <c r="A1690" i="4"/>
  <c r="F1690" i="4" s="1"/>
  <c r="B1689" i="4"/>
  <c r="A1689" i="4"/>
  <c r="F1689" i="4" s="1"/>
  <c r="B1688" i="4"/>
  <c r="A1688" i="4"/>
  <c r="F1688" i="4" s="1"/>
  <c r="B1687" i="4"/>
  <c r="A1687" i="4"/>
  <c r="F1687" i="4" s="1"/>
  <c r="B1686" i="4"/>
  <c r="A1686" i="4"/>
  <c r="F1686" i="4" s="1"/>
  <c r="B1685" i="4"/>
  <c r="A1685" i="4"/>
  <c r="F1685" i="4" s="1"/>
  <c r="B1684" i="4"/>
  <c r="A1684" i="4"/>
  <c r="F1684" i="4" s="1"/>
  <c r="B1683" i="4"/>
  <c r="A1683" i="4"/>
  <c r="F1683" i="4" s="1"/>
  <c r="B1682" i="4"/>
  <c r="A1682" i="4"/>
  <c r="F1682" i="4" s="1"/>
  <c r="B1681" i="4"/>
  <c r="A1681" i="4"/>
  <c r="F1681" i="4" s="1"/>
  <c r="B1680" i="4"/>
  <c r="A1680" i="4"/>
  <c r="F1680" i="4" s="1"/>
  <c r="B1679" i="4"/>
  <c r="A1679" i="4"/>
  <c r="F1679" i="4" s="1"/>
  <c r="B1678" i="4"/>
  <c r="A1678" i="4"/>
  <c r="F1678" i="4" s="1"/>
  <c r="B1677" i="4"/>
  <c r="A1677" i="4"/>
  <c r="F1677" i="4" s="1"/>
  <c r="B1676" i="4"/>
  <c r="A1676" i="4"/>
  <c r="F1676" i="4" s="1"/>
  <c r="B1675" i="4"/>
  <c r="A1675" i="4"/>
  <c r="F1675" i="4" s="1"/>
  <c r="B1674" i="4"/>
  <c r="A1674" i="4"/>
  <c r="F1674" i="4" s="1"/>
  <c r="B1673" i="4"/>
  <c r="A1673" i="4"/>
  <c r="F1673" i="4" s="1"/>
  <c r="B1672" i="4"/>
  <c r="A1672" i="4"/>
  <c r="F1672" i="4" s="1"/>
  <c r="B1671" i="4"/>
  <c r="A1671" i="4"/>
  <c r="F1671" i="4" s="1"/>
  <c r="B1670" i="4"/>
  <c r="A1670" i="4"/>
  <c r="F1670" i="4" s="1"/>
  <c r="B1669" i="4"/>
  <c r="A1669" i="4"/>
  <c r="F1669" i="4" s="1"/>
  <c r="B1668" i="4"/>
  <c r="A1668" i="4"/>
  <c r="F1668" i="4" s="1"/>
  <c r="B1667" i="4"/>
  <c r="A1667" i="4"/>
  <c r="F1667" i="4" s="1"/>
  <c r="B1666" i="4"/>
  <c r="A1666" i="4"/>
  <c r="F1666" i="4" s="1"/>
  <c r="B1665" i="4"/>
  <c r="A1665" i="4"/>
  <c r="F1665" i="4" s="1"/>
  <c r="B1664" i="4"/>
  <c r="A1664" i="4"/>
  <c r="F1664" i="4" s="1"/>
  <c r="B1663" i="4"/>
  <c r="A1663" i="4"/>
  <c r="F1663" i="4" s="1"/>
  <c r="B1662" i="4"/>
  <c r="A1662" i="4"/>
  <c r="F1662" i="4" s="1"/>
  <c r="B1661" i="4"/>
  <c r="A1661" i="4"/>
  <c r="F1661" i="4" s="1"/>
  <c r="B1660" i="4"/>
  <c r="A1660" i="4"/>
  <c r="F1660" i="4" s="1"/>
  <c r="B1659" i="4"/>
  <c r="A1659" i="4"/>
  <c r="F1659" i="4" s="1"/>
  <c r="B1658" i="4"/>
  <c r="A1658" i="4"/>
  <c r="F1658" i="4" s="1"/>
  <c r="B1657" i="4"/>
  <c r="A1657" i="4"/>
  <c r="F1657" i="4" s="1"/>
  <c r="B1656" i="4"/>
  <c r="A1656" i="4"/>
  <c r="F1656" i="4" s="1"/>
  <c r="B1655" i="4"/>
  <c r="A1655" i="4"/>
  <c r="F1655" i="4" s="1"/>
  <c r="B1654" i="4"/>
  <c r="A1654" i="4"/>
  <c r="F1654" i="4" s="1"/>
  <c r="B1653" i="4"/>
  <c r="A1653" i="4"/>
  <c r="F1653" i="4" s="1"/>
  <c r="B1652" i="4"/>
  <c r="A1652" i="4"/>
  <c r="F1652" i="4" s="1"/>
  <c r="B1651" i="4"/>
  <c r="A1651" i="4"/>
  <c r="F1651" i="4" s="1"/>
  <c r="B1650" i="4"/>
  <c r="A1650" i="4"/>
  <c r="F1650" i="4" s="1"/>
  <c r="B1649" i="4"/>
  <c r="A1649" i="4"/>
  <c r="F1649" i="4" s="1"/>
  <c r="B1648" i="4"/>
  <c r="A1648" i="4"/>
  <c r="F1648" i="4" s="1"/>
  <c r="B1647" i="4"/>
  <c r="A1647" i="4"/>
  <c r="F1647" i="4" s="1"/>
  <c r="B1646" i="4"/>
  <c r="A1646" i="4"/>
  <c r="F1646" i="4" s="1"/>
  <c r="B1645" i="4"/>
  <c r="A1645" i="4"/>
  <c r="F1645" i="4" s="1"/>
  <c r="B1644" i="4"/>
  <c r="A1644" i="4"/>
  <c r="F1644" i="4" s="1"/>
  <c r="B1643" i="4"/>
  <c r="A1643" i="4"/>
  <c r="F1643" i="4" s="1"/>
  <c r="B1642" i="4"/>
  <c r="A1642" i="4"/>
  <c r="F1642" i="4" s="1"/>
  <c r="B1641" i="4"/>
  <c r="A1641" i="4"/>
  <c r="F1641" i="4" s="1"/>
  <c r="B1640" i="4"/>
  <c r="A1640" i="4"/>
  <c r="F1640" i="4" s="1"/>
  <c r="B1639" i="4"/>
  <c r="A1639" i="4"/>
  <c r="F1639" i="4" s="1"/>
  <c r="B1638" i="4"/>
  <c r="A1638" i="4"/>
  <c r="F1638" i="4" s="1"/>
  <c r="B1637" i="4"/>
  <c r="A1637" i="4"/>
  <c r="F1637" i="4" s="1"/>
  <c r="B1636" i="4"/>
  <c r="A1636" i="4"/>
  <c r="F1636" i="4" s="1"/>
  <c r="B1635" i="4"/>
  <c r="A1635" i="4"/>
  <c r="F1635" i="4" s="1"/>
  <c r="B1634" i="4"/>
  <c r="A1634" i="4"/>
  <c r="F1634" i="4" s="1"/>
  <c r="B1633" i="4"/>
  <c r="A1633" i="4"/>
  <c r="F1633" i="4" s="1"/>
  <c r="B1632" i="4"/>
  <c r="A1632" i="4"/>
  <c r="F1632" i="4" s="1"/>
  <c r="B1631" i="4"/>
  <c r="A1631" i="4"/>
  <c r="F1631" i="4" s="1"/>
  <c r="B1630" i="4"/>
  <c r="A1630" i="4"/>
  <c r="F1630" i="4" s="1"/>
  <c r="B1629" i="4"/>
  <c r="A1629" i="4"/>
  <c r="F1629" i="4" s="1"/>
  <c r="B1628" i="4"/>
  <c r="A1628" i="4"/>
  <c r="F1628" i="4" s="1"/>
  <c r="B1627" i="4"/>
  <c r="A1627" i="4"/>
  <c r="F1627" i="4" s="1"/>
  <c r="B1626" i="4"/>
  <c r="A1626" i="4"/>
  <c r="F1626" i="4" s="1"/>
  <c r="B1625" i="4"/>
  <c r="A1625" i="4"/>
  <c r="F1625" i="4" s="1"/>
  <c r="B1624" i="4"/>
  <c r="A1624" i="4"/>
  <c r="F1624" i="4" s="1"/>
  <c r="B1623" i="4"/>
  <c r="A1623" i="4"/>
  <c r="F1623" i="4" s="1"/>
  <c r="B1622" i="4"/>
  <c r="A1622" i="4"/>
  <c r="F1622" i="4" s="1"/>
  <c r="B1621" i="4"/>
  <c r="A1621" i="4"/>
  <c r="F1621" i="4" s="1"/>
  <c r="B1620" i="4"/>
  <c r="A1620" i="4"/>
  <c r="F1620" i="4" s="1"/>
  <c r="B1619" i="4"/>
  <c r="A1619" i="4"/>
  <c r="F1619" i="4" s="1"/>
  <c r="B1618" i="4"/>
  <c r="A1618" i="4"/>
  <c r="F1618" i="4" s="1"/>
  <c r="B1617" i="4"/>
  <c r="A1617" i="4"/>
  <c r="F1617" i="4" s="1"/>
  <c r="B1616" i="4"/>
  <c r="A1616" i="4"/>
  <c r="F1616" i="4" s="1"/>
  <c r="B1615" i="4"/>
  <c r="A1615" i="4"/>
  <c r="F1615" i="4" s="1"/>
  <c r="B1614" i="4"/>
  <c r="A1614" i="4"/>
  <c r="F1614" i="4" s="1"/>
  <c r="B1613" i="4"/>
  <c r="A1613" i="4"/>
  <c r="F1613" i="4" s="1"/>
  <c r="B1612" i="4"/>
  <c r="A1612" i="4"/>
  <c r="F1612" i="4" s="1"/>
  <c r="B1611" i="4"/>
  <c r="A1611" i="4"/>
  <c r="F1611" i="4" s="1"/>
  <c r="B1610" i="4"/>
  <c r="A1610" i="4"/>
  <c r="F1610" i="4" s="1"/>
  <c r="B1609" i="4"/>
  <c r="A1609" i="4"/>
  <c r="F1609" i="4" s="1"/>
  <c r="B1608" i="4"/>
  <c r="A1608" i="4"/>
  <c r="F1608" i="4" s="1"/>
  <c r="B1607" i="4"/>
  <c r="A1607" i="4"/>
  <c r="F1607" i="4" s="1"/>
  <c r="B1606" i="4"/>
  <c r="A1606" i="4"/>
  <c r="F1606" i="4" s="1"/>
  <c r="B1605" i="4"/>
  <c r="A1605" i="4"/>
  <c r="F1605" i="4" s="1"/>
  <c r="B1604" i="4"/>
  <c r="A1604" i="4"/>
  <c r="F1604" i="4" s="1"/>
  <c r="B1603" i="4"/>
  <c r="A1603" i="4"/>
  <c r="F1603" i="4" s="1"/>
  <c r="B1602" i="4"/>
  <c r="A1602" i="4"/>
  <c r="F1602" i="4" s="1"/>
  <c r="B1601" i="4"/>
  <c r="A1601" i="4"/>
  <c r="F1601" i="4" s="1"/>
  <c r="B1600" i="4"/>
  <c r="A1600" i="4"/>
  <c r="F1600" i="4" s="1"/>
  <c r="B1599" i="4"/>
  <c r="A1599" i="4"/>
  <c r="F1599" i="4" s="1"/>
  <c r="B1598" i="4"/>
  <c r="A1598" i="4"/>
  <c r="F1598" i="4" s="1"/>
  <c r="B1597" i="4"/>
  <c r="A1597" i="4"/>
  <c r="F1597" i="4" s="1"/>
  <c r="B1596" i="4"/>
  <c r="A1596" i="4"/>
  <c r="F1596" i="4" s="1"/>
  <c r="B1595" i="4"/>
  <c r="A1595" i="4"/>
  <c r="F1595" i="4" s="1"/>
  <c r="B1594" i="4"/>
  <c r="A1594" i="4"/>
  <c r="F1594" i="4" s="1"/>
  <c r="B1593" i="4"/>
  <c r="A1593" i="4"/>
  <c r="F1593" i="4" s="1"/>
  <c r="B1592" i="4"/>
  <c r="A1592" i="4"/>
  <c r="F1592" i="4" s="1"/>
  <c r="B1591" i="4"/>
  <c r="A1591" i="4"/>
  <c r="F1591" i="4" s="1"/>
  <c r="B1590" i="4"/>
  <c r="A1590" i="4"/>
  <c r="F1590" i="4" s="1"/>
  <c r="B1589" i="4"/>
  <c r="A1589" i="4"/>
  <c r="F1589" i="4" s="1"/>
  <c r="B1588" i="4"/>
  <c r="A1588" i="4"/>
  <c r="F1588" i="4" s="1"/>
  <c r="B1587" i="4"/>
  <c r="A1587" i="4"/>
  <c r="F1587" i="4" s="1"/>
  <c r="B1586" i="4"/>
  <c r="A1586" i="4"/>
  <c r="F1586" i="4" s="1"/>
  <c r="B1585" i="4"/>
  <c r="A1585" i="4"/>
  <c r="F1585" i="4" s="1"/>
  <c r="B1584" i="4"/>
  <c r="A1584" i="4"/>
  <c r="F1584" i="4" s="1"/>
  <c r="B1583" i="4"/>
  <c r="A1583" i="4"/>
  <c r="F1583" i="4" s="1"/>
  <c r="B1582" i="4"/>
  <c r="A1582" i="4"/>
  <c r="F1582" i="4" s="1"/>
  <c r="B1581" i="4"/>
  <c r="A1581" i="4"/>
  <c r="F1581" i="4" s="1"/>
  <c r="B1580" i="4"/>
  <c r="A1580" i="4"/>
  <c r="F1580" i="4" s="1"/>
  <c r="B1579" i="4"/>
  <c r="A1579" i="4"/>
  <c r="F1579" i="4" s="1"/>
  <c r="B1578" i="4"/>
  <c r="A1578" i="4"/>
  <c r="F1578" i="4" s="1"/>
  <c r="B1577" i="4"/>
  <c r="A1577" i="4"/>
  <c r="F1577" i="4" s="1"/>
  <c r="B1576" i="4"/>
  <c r="A1576" i="4"/>
  <c r="F1576" i="4" s="1"/>
  <c r="B1575" i="4"/>
  <c r="A1575" i="4"/>
  <c r="F1575" i="4" s="1"/>
  <c r="B1574" i="4"/>
  <c r="A1574" i="4"/>
  <c r="F1574" i="4" s="1"/>
  <c r="B1573" i="4"/>
  <c r="A1573" i="4"/>
  <c r="F1573" i="4" s="1"/>
  <c r="B1572" i="4"/>
  <c r="A1572" i="4"/>
  <c r="F1572" i="4" s="1"/>
  <c r="B1571" i="4"/>
  <c r="A1571" i="4"/>
  <c r="F1571" i="4" s="1"/>
  <c r="B1570" i="4"/>
  <c r="A1570" i="4"/>
  <c r="F1570" i="4" s="1"/>
  <c r="B1569" i="4"/>
  <c r="A1569" i="4"/>
  <c r="F1569" i="4" s="1"/>
  <c r="B1568" i="4"/>
  <c r="A1568" i="4"/>
  <c r="F1568" i="4" s="1"/>
  <c r="B1567" i="4"/>
  <c r="A1567" i="4"/>
  <c r="F1567" i="4" s="1"/>
  <c r="B1566" i="4"/>
  <c r="A1566" i="4"/>
  <c r="F1566" i="4" s="1"/>
  <c r="B1565" i="4"/>
  <c r="A1565" i="4"/>
  <c r="F1565" i="4" s="1"/>
  <c r="B1564" i="4"/>
  <c r="A1564" i="4"/>
  <c r="F1564" i="4" s="1"/>
  <c r="B1563" i="4"/>
  <c r="A1563" i="4"/>
  <c r="F1563" i="4" s="1"/>
  <c r="B1562" i="4"/>
  <c r="A1562" i="4"/>
  <c r="F1562" i="4" s="1"/>
  <c r="B1561" i="4"/>
  <c r="A1561" i="4"/>
  <c r="F1561" i="4" s="1"/>
  <c r="B1560" i="4"/>
  <c r="A1560" i="4"/>
  <c r="F1560" i="4" s="1"/>
  <c r="B1559" i="4"/>
  <c r="A1559" i="4"/>
  <c r="F1559" i="4" s="1"/>
  <c r="B1558" i="4"/>
  <c r="A1558" i="4"/>
  <c r="F1558" i="4" s="1"/>
  <c r="B1557" i="4"/>
  <c r="A1557" i="4"/>
  <c r="F1557" i="4" s="1"/>
  <c r="B1556" i="4"/>
  <c r="A1556" i="4"/>
  <c r="F1556" i="4" s="1"/>
  <c r="B1555" i="4"/>
  <c r="A1555" i="4"/>
  <c r="F1555" i="4" s="1"/>
  <c r="B1554" i="4"/>
  <c r="A1554" i="4"/>
  <c r="F1554" i="4" s="1"/>
  <c r="B1553" i="4"/>
  <c r="A1553" i="4"/>
  <c r="F1553" i="4" s="1"/>
  <c r="B1552" i="4"/>
  <c r="A1552" i="4"/>
  <c r="F1552" i="4" s="1"/>
  <c r="B1551" i="4"/>
  <c r="A1551" i="4"/>
  <c r="F1551" i="4" s="1"/>
  <c r="B1550" i="4"/>
  <c r="A1550" i="4"/>
  <c r="F1550" i="4" s="1"/>
  <c r="B1549" i="4"/>
  <c r="A1549" i="4"/>
  <c r="F1549" i="4" s="1"/>
  <c r="B1548" i="4"/>
  <c r="A1548" i="4"/>
  <c r="F1548" i="4" s="1"/>
  <c r="B1547" i="4"/>
  <c r="A1547" i="4"/>
  <c r="F1547" i="4" s="1"/>
  <c r="B1546" i="4"/>
  <c r="A1546" i="4"/>
  <c r="F1546" i="4" s="1"/>
  <c r="B1545" i="4"/>
  <c r="A1545" i="4"/>
  <c r="F1545" i="4" s="1"/>
  <c r="B1544" i="4"/>
  <c r="A1544" i="4"/>
  <c r="F1544" i="4" s="1"/>
  <c r="B1543" i="4"/>
  <c r="A1543" i="4"/>
  <c r="F1543" i="4" s="1"/>
  <c r="B1542" i="4"/>
  <c r="A1542" i="4"/>
  <c r="F1542" i="4" s="1"/>
  <c r="B1541" i="4"/>
  <c r="A1541" i="4"/>
  <c r="F1541" i="4" s="1"/>
  <c r="B1540" i="4"/>
  <c r="A1540" i="4"/>
  <c r="F1540" i="4" s="1"/>
  <c r="B1539" i="4"/>
  <c r="A1539" i="4"/>
  <c r="F1539" i="4" s="1"/>
  <c r="B1538" i="4"/>
  <c r="A1538" i="4"/>
  <c r="F1538" i="4" s="1"/>
  <c r="B1537" i="4"/>
  <c r="A1537" i="4"/>
  <c r="F1537" i="4" s="1"/>
  <c r="B1536" i="4"/>
  <c r="A1536" i="4"/>
  <c r="F1536" i="4" s="1"/>
  <c r="B1535" i="4"/>
  <c r="A1535" i="4"/>
  <c r="F1535" i="4" s="1"/>
  <c r="B1534" i="4"/>
  <c r="A1534" i="4"/>
  <c r="F1534" i="4" s="1"/>
  <c r="B1533" i="4"/>
  <c r="A1533" i="4"/>
  <c r="F1533" i="4" s="1"/>
  <c r="B1532" i="4"/>
  <c r="A1532" i="4"/>
  <c r="F1532" i="4" s="1"/>
  <c r="B1531" i="4"/>
  <c r="A1531" i="4"/>
  <c r="F1531" i="4" s="1"/>
  <c r="B1530" i="4"/>
  <c r="A1530" i="4"/>
  <c r="F1530" i="4" s="1"/>
  <c r="B1529" i="4"/>
  <c r="A1529" i="4"/>
  <c r="F1529" i="4" s="1"/>
  <c r="B1528" i="4"/>
  <c r="A1528" i="4"/>
  <c r="F1528" i="4" s="1"/>
  <c r="B1527" i="4"/>
  <c r="A1527" i="4"/>
  <c r="F1527" i="4" s="1"/>
  <c r="B1526" i="4"/>
  <c r="A1526" i="4"/>
  <c r="F1526" i="4" s="1"/>
  <c r="B1525" i="4"/>
  <c r="A1525" i="4"/>
  <c r="F1525" i="4" s="1"/>
  <c r="B1524" i="4"/>
  <c r="A1524" i="4"/>
  <c r="F1524" i="4" s="1"/>
  <c r="B1523" i="4"/>
  <c r="A1523" i="4"/>
  <c r="F1523" i="4" s="1"/>
  <c r="B1522" i="4"/>
  <c r="A1522" i="4"/>
  <c r="F1522" i="4" s="1"/>
  <c r="B1521" i="4"/>
  <c r="A1521" i="4"/>
  <c r="F1521" i="4" s="1"/>
  <c r="B1520" i="4"/>
  <c r="A1520" i="4"/>
  <c r="F1520" i="4" s="1"/>
  <c r="B1519" i="4"/>
  <c r="A1519" i="4"/>
  <c r="F1519" i="4" s="1"/>
  <c r="B1518" i="4"/>
  <c r="A1518" i="4"/>
  <c r="F1518" i="4" s="1"/>
  <c r="B1517" i="4"/>
  <c r="A1517" i="4"/>
  <c r="F1517" i="4" s="1"/>
  <c r="B1516" i="4"/>
  <c r="A1516" i="4"/>
  <c r="F1516" i="4" s="1"/>
  <c r="B1515" i="4"/>
  <c r="A1515" i="4"/>
  <c r="F1515" i="4" s="1"/>
  <c r="B1514" i="4"/>
  <c r="A1514" i="4"/>
  <c r="F1514" i="4" s="1"/>
  <c r="B1513" i="4"/>
  <c r="A1513" i="4"/>
  <c r="F1513" i="4" s="1"/>
  <c r="B1512" i="4"/>
  <c r="A1512" i="4"/>
  <c r="F1512" i="4" s="1"/>
  <c r="B1511" i="4"/>
  <c r="A1511" i="4"/>
  <c r="F1511" i="4" s="1"/>
  <c r="B1510" i="4"/>
  <c r="A1510" i="4"/>
  <c r="F1510" i="4" s="1"/>
  <c r="B1509" i="4"/>
  <c r="A1509" i="4"/>
  <c r="F1509" i="4" s="1"/>
  <c r="B1508" i="4"/>
  <c r="A1508" i="4"/>
  <c r="F1508" i="4" s="1"/>
  <c r="B1507" i="4"/>
  <c r="A1507" i="4"/>
  <c r="F1507" i="4" s="1"/>
  <c r="B1506" i="4"/>
  <c r="A1506" i="4"/>
  <c r="F1506" i="4" s="1"/>
  <c r="B1505" i="4"/>
  <c r="A1505" i="4"/>
  <c r="F1505" i="4" s="1"/>
  <c r="B1504" i="4"/>
  <c r="A1504" i="4"/>
  <c r="F1504" i="4" s="1"/>
  <c r="B1503" i="4"/>
  <c r="A1503" i="4"/>
  <c r="F1503" i="4" s="1"/>
  <c r="B1502" i="4"/>
  <c r="A1502" i="4"/>
  <c r="F1502" i="4" s="1"/>
  <c r="B1501" i="4"/>
  <c r="A1501" i="4"/>
  <c r="F1501" i="4" s="1"/>
  <c r="B1500" i="4"/>
  <c r="A1500" i="4"/>
  <c r="F1500" i="4" s="1"/>
  <c r="B1499" i="4"/>
  <c r="A1499" i="4"/>
  <c r="F1499" i="4" s="1"/>
  <c r="B1498" i="4"/>
  <c r="A1498" i="4"/>
  <c r="F1498" i="4" s="1"/>
  <c r="B1497" i="4"/>
  <c r="A1497" i="4"/>
  <c r="F1497" i="4" s="1"/>
  <c r="B1496" i="4"/>
  <c r="A1496" i="4"/>
  <c r="F1496" i="4" s="1"/>
  <c r="B1495" i="4"/>
  <c r="A1495" i="4"/>
  <c r="F1495" i="4" s="1"/>
  <c r="B1494" i="4"/>
  <c r="A1494" i="4"/>
  <c r="F1494" i="4" s="1"/>
  <c r="B1493" i="4"/>
  <c r="A1493" i="4"/>
  <c r="F1493" i="4" s="1"/>
  <c r="B1492" i="4"/>
  <c r="A1492" i="4"/>
  <c r="F1492" i="4" s="1"/>
  <c r="B1491" i="4"/>
  <c r="A1491" i="4"/>
  <c r="F1491" i="4" s="1"/>
  <c r="B1490" i="4"/>
  <c r="A1490" i="4"/>
  <c r="F1490" i="4" s="1"/>
  <c r="B1489" i="4"/>
  <c r="A1489" i="4"/>
  <c r="F1489" i="4" s="1"/>
  <c r="B1488" i="4"/>
  <c r="A1488" i="4"/>
  <c r="F1488" i="4" s="1"/>
  <c r="B1487" i="4"/>
  <c r="A1487" i="4"/>
  <c r="F1487" i="4" s="1"/>
  <c r="B1486" i="4"/>
  <c r="A1486" i="4"/>
  <c r="F1486" i="4" s="1"/>
  <c r="B1485" i="4"/>
  <c r="A1485" i="4"/>
  <c r="F1485" i="4" s="1"/>
  <c r="B1484" i="4"/>
  <c r="A1484" i="4"/>
  <c r="F1484" i="4" s="1"/>
  <c r="B1483" i="4"/>
  <c r="A1483" i="4"/>
  <c r="F1483" i="4" s="1"/>
  <c r="B1482" i="4"/>
  <c r="A1482" i="4"/>
  <c r="F1482" i="4" s="1"/>
  <c r="B1481" i="4"/>
  <c r="A1481" i="4"/>
  <c r="F1481" i="4" s="1"/>
  <c r="B1480" i="4"/>
  <c r="A1480" i="4"/>
  <c r="F1480" i="4" s="1"/>
  <c r="B1479" i="4"/>
  <c r="A1479" i="4"/>
  <c r="F1479" i="4" s="1"/>
  <c r="B1478" i="4"/>
  <c r="A1478" i="4"/>
  <c r="F1478" i="4" s="1"/>
  <c r="B1477" i="4"/>
  <c r="A1477" i="4"/>
  <c r="F1477" i="4" s="1"/>
  <c r="B1476" i="4"/>
  <c r="A1476" i="4"/>
  <c r="F1476" i="4" s="1"/>
  <c r="B1475" i="4"/>
  <c r="A1475" i="4"/>
  <c r="F1475" i="4" s="1"/>
  <c r="B1474" i="4"/>
  <c r="A1474" i="4"/>
  <c r="F1474" i="4" s="1"/>
  <c r="B1473" i="4"/>
  <c r="A1473" i="4"/>
  <c r="F1473" i="4" s="1"/>
  <c r="B1472" i="4"/>
  <c r="A1472" i="4"/>
  <c r="F1472" i="4" s="1"/>
  <c r="B1471" i="4"/>
  <c r="A1471" i="4"/>
  <c r="F1471" i="4" s="1"/>
  <c r="B1470" i="4"/>
  <c r="A1470" i="4"/>
  <c r="F1470" i="4" s="1"/>
  <c r="B1469" i="4"/>
  <c r="A1469" i="4"/>
  <c r="F1469" i="4" s="1"/>
  <c r="B1468" i="4"/>
  <c r="A1468" i="4"/>
  <c r="F1468" i="4" s="1"/>
  <c r="B1467" i="4"/>
  <c r="A1467" i="4"/>
  <c r="F1467" i="4" s="1"/>
  <c r="B1466" i="4"/>
  <c r="A1466" i="4"/>
  <c r="F1466" i="4" s="1"/>
  <c r="B1465" i="4"/>
  <c r="A1465" i="4"/>
  <c r="F1465" i="4" s="1"/>
  <c r="B1464" i="4"/>
  <c r="A1464" i="4"/>
  <c r="F1464" i="4" s="1"/>
  <c r="B1463" i="4"/>
  <c r="A1463" i="4"/>
  <c r="F1463" i="4" s="1"/>
  <c r="B1462" i="4"/>
  <c r="A1462" i="4"/>
  <c r="F1462" i="4" s="1"/>
  <c r="B1461" i="4"/>
  <c r="A1461" i="4"/>
  <c r="F1461" i="4" s="1"/>
  <c r="B1460" i="4"/>
  <c r="A1460" i="4"/>
  <c r="F1460" i="4" s="1"/>
  <c r="B1459" i="4"/>
  <c r="A1459" i="4"/>
  <c r="F1459" i="4" s="1"/>
  <c r="B1458" i="4"/>
  <c r="A1458" i="4"/>
  <c r="F1458" i="4" s="1"/>
  <c r="B1457" i="4"/>
  <c r="A1457" i="4"/>
  <c r="F1457" i="4" s="1"/>
  <c r="B1456" i="4"/>
  <c r="A1456" i="4"/>
  <c r="F1456" i="4" s="1"/>
  <c r="B1455" i="4"/>
  <c r="A1455" i="4"/>
  <c r="F1455" i="4" s="1"/>
  <c r="B1454" i="4"/>
  <c r="A1454" i="4"/>
  <c r="F1454" i="4" s="1"/>
  <c r="B1453" i="4"/>
  <c r="A1453" i="4"/>
  <c r="F1453" i="4" s="1"/>
  <c r="B1452" i="4"/>
  <c r="A1452" i="4"/>
  <c r="F1452" i="4" s="1"/>
  <c r="B1451" i="4"/>
  <c r="A1451" i="4"/>
  <c r="F1451" i="4" s="1"/>
  <c r="B1450" i="4"/>
  <c r="A1450" i="4"/>
  <c r="F1450" i="4" s="1"/>
  <c r="B1449" i="4"/>
  <c r="A1449" i="4"/>
  <c r="F1449" i="4" s="1"/>
  <c r="B1448" i="4"/>
  <c r="A1448" i="4"/>
  <c r="F1448" i="4" s="1"/>
  <c r="B1447" i="4"/>
  <c r="A1447" i="4"/>
  <c r="F1447" i="4" s="1"/>
  <c r="B1446" i="4"/>
  <c r="A1446" i="4"/>
  <c r="F1446" i="4" s="1"/>
  <c r="B1445" i="4"/>
  <c r="A1445" i="4"/>
  <c r="F1445" i="4" s="1"/>
  <c r="B1444" i="4"/>
  <c r="A1444" i="4"/>
  <c r="F1444" i="4" s="1"/>
  <c r="B1443" i="4"/>
  <c r="A1443" i="4"/>
  <c r="F1443" i="4" s="1"/>
  <c r="B1442" i="4"/>
  <c r="A1442" i="4"/>
  <c r="F1442" i="4" s="1"/>
  <c r="B1441" i="4"/>
  <c r="A1441" i="4"/>
  <c r="F1441" i="4" s="1"/>
  <c r="B1440" i="4"/>
  <c r="A1440" i="4"/>
  <c r="F1440" i="4" s="1"/>
  <c r="B1439" i="4"/>
  <c r="A1439" i="4"/>
  <c r="F1439" i="4" s="1"/>
  <c r="B1438" i="4"/>
  <c r="A1438" i="4"/>
  <c r="F1438" i="4" s="1"/>
  <c r="B1437" i="4"/>
  <c r="A1437" i="4"/>
  <c r="F1437" i="4" s="1"/>
  <c r="B1436" i="4"/>
  <c r="A1436" i="4"/>
  <c r="F1436" i="4" s="1"/>
  <c r="B1435" i="4"/>
  <c r="A1435" i="4"/>
  <c r="F1435" i="4" s="1"/>
  <c r="B1434" i="4"/>
  <c r="A1434" i="4"/>
  <c r="F1434" i="4" s="1"/>
  <c r="B1433" i="4"/>
  <c r="A1433" i="4"/>
  <c r="F1433" i="4" s="1"/>
  <c r="B1432" i="4"/>
  <c r="A1432" i="4"/>
  <c r="F1432" i="4" s="1"/>
  <c r="B1431" i="4"/>
  <c r="A1431" i="4"/>
  <c r="F1431" i="4" s="1"/>
  <c r="B1430" i="4"/>
  <c r="A1430" i="4"/>
  <c r="F1430" i="4" s="1"/>
  <c r="B1429" i="4"/>
  <c r="A1429" i="4"/>
  <c r="F1429" i="4" s="1"/>
  <c r="B1428" i="4"/>
  <c r="A1428" i="4"/>
  <c r="F1428" i="4" s="1"/>
  <c r="B1427" i="4"/>
  <c r="A1427" i="4"/>
  <c r="F1427" i="4" s="1"/>
  <c r="B1426" i="4"/>
  <c r="A1426" i="4"/>
  <c r="F1426" i="4" s="1"/>
  <c r="B1425" i="4"/>
  <c r="A1425" i="4"/>
  <c r="F1425" i="4" s="1"/>
  <c r="B1424" i="4"/>
  <c r="A1424" i="4"/>
  <c r="F1424" i="4" s="1"/>
  <c r="B1423" i="4"/>
  <c r="A1423" i="4"/>
  <c r="F1423" i="4" s="1"/>
  <c r="B1422" i="4"/>
  <c r="A1422" i="4"/>
  <c r="F1422" i="4" s="1"/>
  <c r="B1421" i="4"/>
  <c r="A1421" i="4"/>
  <c r="F1421" i="4" s="1"/>
  <c r="B1420" i="4"/>
  <c r="A1420" i="4"/>
  <c r="F1420" i="4" s="1"/>
  <c r="B1419" i="4"/>
  <c r="A1419" i="4"/>
  <c r="F1419" i="4" s="1"/>
  <c r="B1418" i="4"/>
  <c r="A1418" i="4"/>
  <c r="F1418" i="4" s="1"/>
  <c r="B1417" i="4"/>
  <c r="A1417" i="4"/>
  <c r="F1417" i="4" s="1"/>
  <c r="B1416" i="4"/>
  <c r="A1416" i="4"/>
  <c r="F1416" i="4" s="1"/>
  <c r="B1415" i="4"/>
  <c r="A1415" i="4"/>
  <c r="F1415" i="4" s="1"/>
  <c r="B1414" i="4"/>
  <c r="A1414" i="4"/>
  <c r="F1414" i="4" s="1"/>
  <c r="B1413" i="4"/>
  <c r="A1413" i="4"/>
  <c r="F1413" i="4" s="1"/>
  <c r="B1412" i="4"/>
  <c r="A1412" i="4"/>
  <c r="F1412" i="4" s="1"/>
  <c r="B1411" i="4"/>
  <c r="A1411" i="4"/>
  <c r="F1411" i="4" s="1"/>
  <c r="B1410" i="4"/>
  <c r="A1410" i="4"/>
  <c r="F1410" i="4" s="1"/>
  <c r="B1409" i="4"/>
  <c r="A1409" i="4"/>
  <c r="F1409" i="4" s="1"/>
  <c r="B1408" i="4"/>
  <c r="A1408" i="4"/>
  <c r="F1408" i="4" s="1"/>
  <c r="B1407" i="4"/>
  <c r="A1407" i="4"/>
  <c r="F1407" i="4" s="1"/>
  <c r="B1406" i="4"/>
  <c r="A1406" i="4"/>
  <c r="F1406" i="4" s="1"/>
  <c r="B1405" i="4"/>
  <c r="A1405" i="4"/>
  <c r="F1405" i="4" s="1"/>
  <c r="B1404" i="4"/>
  <c r="A1404" i="4"/>
  <c r="F1404" i="4" s="1"/>
  <c r="B1403" i="4"/>
  <c r="A1403" i="4"/>
  <c r="F1403" i="4" s="1"/>
  <c r="B1402" i="4"/>
  <c r="A1402" i="4"/>
  <c r="F1402" i="4" s="1"/>
  <c r="B1401" i="4"/>
  <c r="A1401" i="4"/>
  <c r="F1401" i="4" s="1"/>
  <c r="B1400" i="4"/>
  <c r="A1400" i="4"/>
  <c r="F1400" i="4" s="1"/>
  <c r="B1399" i="4"/>
  <c r="A1399" i="4"/>
  <c r="F1399" i="4" s="1"/>
  <c r="B1398" i="4"/>
  <c r="A1398" i="4"/>
  <c r="F1398" i="4" s="1"/>
  <c r="B1397" i="4"/>
  <c r="A1397" i="4"/>
  <c r="F1397" i="4" s="1"/>
  <c r="B1396" i="4"/>
  <c r="A1396" i="4"/>
  <c r="F1396" i="4" s="1"/>
  <c r="B1395" i="4"/>
  <c r="A1395" i="4"/>
  <c r="F1395" i="4" s="1"/>
  <c r="B1394" i="4"/>
  <c r="A1394" i="4"/>
  <c r="F1394" i="4" s="1"/>
  <c r="B1393" i="4"/>
  <c r="A1393" i="4"/>
  <c r="F1393" i="4" s="1"/>
  <c r="B1392" i="4"/>
  <c r="A1392" i="4"/>
  <c r="F1392" i="4" s="1"/>
  <c r="B1391" i="4"/>
  <c r="A1391" i="4"/>
  <c r="F1391" i="4" s="1"/>
  <c r="B1390" i="4"/>
  <c r="A1390" i="4"/>
  <c r="F1390" i="4" s="1"/>
  <c r="B1389" i="4"/>
  <c r="A1389" i="4"/>
  <c r="F1389" i="4" s="1"/>
  <c r="B1388" i="4"/>
  <c r="A1388" i="4"/>
  <c r="F1388" i="4" s="1"/>
  <c r="B1387" i="4"/>
  <c r="A1387" i="4"/>
  <c r="F1387" i="4" s="1"/>
  <c r="B1386" i="4"/>
  <c r="A1386" i="4"/>
  <c r="F1386" i="4" s="1"/>
  <c r="B1385" i="4"/>
  <c r="A1385" i="4"/>
  <c r="F1385" i="4" s="1"/>
  <c r="B1384" i="4"/>
  <c r="A1384" i="4"/>
  <c r="F1384" i="4" s="1"/>
  <c r="B1383" i="4"/>
  <c r="A1383" i="4"/>
  <c r="F1383" i="4" s="1"/>
  <c r="B1382" i="4"/>
  <c r="A1382" i="4"/>
  <c r="F1382" i="4" s="1"/>
  <c r="B1381" i="4"/>
  <c r="A1381" i="4"/>
  <c r="F1381" i="4" s="1"/>
  <c r="B1380" i="4"/>
  <c r="A1380" i="4"/>
  <c r="F1380" i="4" s="1"/>
  <c r="B1379" i="4"/>
  <c r="A1379" i="4"/>
  <c r="F1379" i="4" s="1"/>
  <c r="B1378" i="4"/>
  <c r="A1378" i="4"/>
  <c r="F1378" i="4" s="1"/>
  <c r="B1377" i="4"/>
  <c r="A1377" i="4"/>
  <c r="F1377" i="4" s="1"/>
  <c r="B1376" i="4"/>
  <c r="A1376" i="4"/>
  <c r="F1376" i="4" s="1"/>
  <c r="B1375" i="4"/>
  <c r="A1375" i="4"/>
  <c r="F1375" i="4" s="1"/>
  <c r="B1374" i="4"/>
  <c r="A1374" i="4"/>
  <c r="F1374" i="4" s="1"/>
  <c r="B1373" i="4"/>
  <c r="A1373" i="4"/>
  <c r="F1373" i="4" s="1"/>
  <c r="B1372" i="4"/>
  <c r="A1372" i="4"/>
  <c r="F1372" i="4" s="1"/>
  <c r="B1371" i="4"/>
  <c r="A1371" i="4"/>
  <c r="F1371" i="4" s="1"/>
  <c r="B1370" i="4"/>
  <c r="A1370" i="4"/>
  <c r="F1370" i="4" s="1"/>
  <c r="B1369" i="4"/>
  <c r="A1369" i="4"/>
  <c r="F1369" i="4" s="1"/>
  <c r="B1368" i="4"/>
  <c r="A1368" i="4"/>
  <c r="F1368" i="4" s="1"/>
  <c r="B1367" i="4"/>
  <c r="A1367" i="4"/>
  <c r="F1367" i="4" s="1"/>
  <c r="B1366" i="4"/>
  <c r="A1366" i="4"/>
  <c r="F1366" i="4" s="1"/>
  <c r="B1365" i="4"/>
  <c r="A1365" i="4"/>
  <c r="F1365" i="4" s="1"/>
  <c r="B1364" i="4"/>
  <c r="A1364" i="4"/>
  <c r="F1364" i="4" s="1"/>
  <c r="B1363" i="4"/>
  <c r="A1363" i="4"/>
  <c r="F1363" i="4" s="1"/>
  <c r="B1362" i="4"/>
  <c r="A1362" i="4"/>
  <c r="F1362" i="4" s="1"/>
  <c r="B1361" i="4"/>
  <c r="A1361" i="4"/>
  <c r="F1361" i="4" s="1"/>
  <c r="B1360" i="4"/>
  <c r="A1360" i="4"/>
  <c r="F1360" i="4" s="1"/>
  <c r="B1359" i="4"/>
  <c r="A1359" i="4"/>
  <c r="F1359" i="4" s="1"/>
  <c r="B1358" i="4"/>
  <c r="A1358" i="4"/>
  <c r="F1358" i="4" s="1"/>
  <c r="B1357" i="4"/>
  <c r="A1357" i="4"/>
  <c r="F1357" i="4" s="1"/>
  <c r="B1356" i="4"/>
  <c r="A1356" i="4"/>
  <c r="F1356" i="4" s="1"/>
  <c r="B1355" i="4"/>
  <c r="A1355" i="4"/>
  <c r="F1355" i="4" s="1"/>
  <c r="B1354" i="4"/>
  <c r="A1354" i="4"/>
  <c r="F1354" i="4" s="1"/>
  <c r="B1353" i="4"/>
  <c r="A1353" i="4"/>
  <c r="F1353" i="4" s="1"/>
  <c r="B1352" i="4"/>
  <c r="A1352" i="4"/>
  <c r="F1352" i="4" s="1"/>
  <c r="B1351" i="4"/>
  <c r="A1351" i="4"/>
  <c r="F1351" i="4" s="1"/>
  <c r="B1350" i="4"/>
  <c r="A1350" i="4"/>
  <c r="F1350" i="4" s="1"/>
  <c r="B1349" i="4"/>
  <c r="A1349" i="4"/>
  <c r="F1349" i="4" s="1"/>
  <c r="B1348" i="4"/>
  <c r="A1348" i="4"/>
  <c r="F1348" i="4" s="1"/>
  <c r="B1347" i="4"/>
  <c r="A1347" i="4"/>
  <c r="F1347" i="4" s="1"/>
  <c r="B1346" i="4"/>
  <c r="A1346" i="4"/>
  <c r="F1346" i="4" s="1"/>
  <c r="B1345" i="4"/>
  <c r="A1345" i="4"/>
  <c r="F1345" i="4" s="1"/>
  <c r="B1344" i="4"/>
  <c r="A1344" i="4"/>
  <c r="F1344" i="4" s="1"/>
  <c r="B1343" i="4"/>
  <c r="A1343" i="4"/>
  <c r="F1343" i="4" s="1"/>
  <c r="B1342" i="4"/>
  <c r="A1342" i="4"/>
  <c r="F1342" i="4" s="1"/>
  <c r="B1341" i="4"/>
  <c r="A1341" i="4"/>
  <c r="F1341" i="4" s="1"/>
  <c r="B1340" i="4"/>
  <c r="A1340" i="4"/>
  <c r="F1340" i="4" s="1"/>
  <c r="B1339" i="4"/>
  <c r="A1339" i="4"/>
  <c r="F1339" i="4" s="1"/>
  <c r="B1338" i="4"/>
  <c r="A1338" i="4"/>
  <c r="F1338" i="4" s="1"/>
  <c r="B1337" i="4"/>
  <c r="A1337" i="4"/>
  <c r="F1337" i="4" s="1"/>
  <c r="B1336" i="4"/>
  <c r="A1336" i="4"/>
  <c r="F1336" i="4" s="1"/>
  <c r="B1335" i="4"/>
  <c r="A1335" i="4"/>
  <c r="F1335" i="4" s="1"/>
  <c r="B1334" i="4"/>
  <c r="A1334" i="4"/>
  <c r="F1334" i="4" s="1"/>
  <c r="B1333" i="4"/>
  <c r="A1333" i="4"/>
  <c r="F1333" i="4" s="1"/>
  <c r="B1332" i="4"/>
  <c r="A1332" i="4"/>
  <c r="F1332" i="4" s="1"/>
  <c r="B1331" i="4"/>
  <c r="A1331" i="4"/>
  <c r="F1331" i="4" s="1"/>
  <c r="B1330" i="4"/>
  <c r="A1330" i="4"/>
  <c r="F1330" i="4" s="1"/>
  <c r="B1329" i="4"/>
  <c r="A1329" i="4"/>
  <c r="F1329" i="4" s="1"/>
  <c r="B1328" i="4"/>
  <c r="A1328" i="4"/>
  <c r="F1328" i="4" s="1"/>
  <c r="B1327" i="4"/>
  <c r="A1327" i="4"/>
  <c r="F1327" i="4" s="1"/>
  <c r="B1326" i="4"/>
  <c r="A1326" i="4"/>
  <c r="F1326" i="4" s="1"/>
  <c r="B1325" i="4"/>
  <c r="A1325" i="4"/>
  <c r="F1325" i="4" s="1"/>
  <c r="B1324" i="4"/>
  <c r="A1324" i="4"/>
  <c r="F1324" i="4" s="1"/>
  <c r="B1323" i="4"/>
  <c r="A1323" i="4"/>
  <c r="F1323" i="4" s="1"/>
  <c r="B1322" i="4"/>
  <c r="A1322" i="4"/>
  <c r="F1322" i="4" s="1"/>
  <c r="B1321" i="4"/>
  <c r="A1321" i="4"/>
  <c r="F1321" i="4" s="1"/>
  <c r="B1320" i="4"/>
  <c r="A1320" i="4"/>
  <c r="F1320" i="4" s="1"/>
  <c r="B1319" i="4"/>
  <c r="A1319" i="4"/>
  <c r="F1319" i="4" s="1"/>
  <c r="B1318" i="4"/>
  <c r="A1318" i="4"/>
  <c r="F1318" i="4" s="1"/>
  <c r="B1317" i="4"/>
  <c r="A1317" i="4"/>
  <c r="F1317" i="4" s="1"/>
  <c r="B1316" i="4"/>
  <c r="A1316" i="4"/>
  <c r="F1316" i="4" s="1"/>
  <c r="B1315" i="4"/>
  <c r="A1315" i="4"/>
  <c r="F1315" i="4" s="1"/>
  <c r="B1314" i="4"/>
  <c r="A1314" i="4"/>
  <c r="F1314" i="4" s="1"/>
  <c r="B1313" i="4"/>
  <c r="A1313" i="4"/>
  <c r="F1313" i="4" s="1"/>
  <c r="B1312" i="4"/>
  <c r="A1312" i="4"/>
  <c r="F1312" i="4" s="1"/>
  <c r="B1311" i="4"/>
  <c r="A1311" i="4"/>
  <c r="F1311" i="4" s="1"/>
  <c r="B1310" i="4"/>
  <c r="A1310" i="4"/>
  <c r="F1310" i="4" s="1"/>
  <c r="B1309" i="4"/>
  <c r="A1309" i="4"/>
  <c r="F1309" i="4" s="1"/>
  <c r="B1308" i="4"/>
  <c r="A1308" i="4"/>
  <c r="F1308" i="4" s="1"/>
  <c r="B1307" i="4"/>
  <c r="A1307" i="4"/>
  <c r="F1307" i="4" s="1"/>
  <c r="B1306" i="4"/>
  <c r="A1306" i="4"/>
  <c r="F1306" i="4" s="1"/>
  <c r="B1305" i="4"/>
  <c r="A1305" i="4"/>
  <c r="F1305" i="4" s="1"/>
  <c r="B1304" i="4"/>
  <c r="A1304" i="4"/>
  <c r="F1304" i="4" s="1"/>
  <c r="B1303" i="4"/>
  <c r="A1303" i="4"/>
  <c r="F1303" i="4" s="1"/>
  <c r="B1302" i="4"/>
  <c r="A1302" i="4"/>
  <c r="F1302" i="4" s="1"/>
  <c r="B1301" i="4"/>
  <c r="A1301" i="4"/>
  <c r="F1301" i="4" s="1"/>
  <c r="B1300" i="4"/>
  <c r="A1300" i="4"/>
  <c r="F1300" i="4" s="1"/>
  <c r="B1299" i="4"/>
  <c r="A1299" i="4"/>
  <c r="F1299" i="4" s="1"/>
  <c r="B1298" i="4"/>
  <c r="A1298" i="4"/>
  <c r="F1298" i="4" s="1"/>
  <c r="B1297" i="4"/>
  <c r="A1297" i="4"/>
  <c r="F1297" i="4" s="1"/>
  <c r="B1296" i="4"/>
  <c r="A1296" i="4"/>
  <c r="F1296" i="4" s="1"/>
  <c r="B1295" i="4"/>
  <c r="A1295" i="4"/>
  <c r="F1295" i="4" s="1"/>
  <c r="B1294" i="4"/>
  <c r="A1294" i="4"/>
  <c r="F1294" i="4" s="1"/>
  <c r="B1293" i="4"/>
  <c r="A1293" i="4"/>
  <c r="F1293" i="4" s="1"/>
  <c r="B1292" i="4"/>
  <c r="A1292" i="4"/>
  <c r="F1292" i="4" s="1"/>
  <c r="B1291" i="4"/>
  <c r="A1291" i="4"/>
  <c r="F1291" i="4" s="1"/>
  <c r="B1290" i="4"/>
  <c r="A1290" i="4"/>
  <c r="F1290" i="4" s="1"/>
  <c r="B1289" i="4"/>
  <c r="A1289" i="4"/>
  <c r="F1289" i="4" s="1"/>
  <c r="B1288" i="4"/>
  <c r="A1288" i="4"/>
  <c r="F1288" i="4" s="1"/>
  <c r="B1287" i="4"/>
  <c r="A1287" i="4"/>
  <c r="F1287" i="4" s="1"/>
  <c r="B1286" i="4"/>
  <c r="A1286" i="4"/>
  <c r="F1286" i="4" s="1"/>
  <c r="B1285" i="4"/>
  <c r="A1285" i="4"/>
  <c r="F1285" i="4" s="1"/>
  <c r="B1284" i="4"/>
  <c r="A1284" i="4"/>
  <c r="F1284" i="4" s="1"/>
  <c r="B1283" i="4"/>
  <c r="A1283" i="4"/>
  <c r="F1283" i="4" s="1"/>
  <c r="B1282" i="4"/>
  <c r="A1282" i="4"/>
  <c r="F1282" i="4" s="1"/>
  <c r="B1281" i="4"/>
  <c r="A1281" i="4"/>
  <c r="F1281" i="4" s="1"/>
  <c r="B1280" i="4"/>
  <c r="A1280" i="4"/>
  <c r="F1280" i="4" s="1"/>
  <c r="B1279" i="4"/>
  <c r="A1279" i="4"/>
  <c r="F1279" i="4" s="1"/>
  <c r="B1278" i="4"/>
  <c r="A1278" i="4"/>
  <c r="F1278" i="4" s="1"/>
  <c r="B1277" i="4"/>
  <c r="A1277" i="4"/>
  <c r="F1277" i="4" s="1"/>
  <c r="B1276" i="4"/>
  <c r="A1276" i="4"/>
  <c r="F1276" i="4" s="1"/>
  <c r="B1275" i="4"/>
  <c r="A1275" i="4"/>
  <c r="F1275" i="4" s="1"/>
  <c r="B1274" i="4"/>
  <c r="A1274" i="4"/>
  <c r="F1274" i="4" s="1"/>
  <c r="B1273" i="4"/>
  <c r="A1273" i="4"/>
  <c r="F1273" i="4" s="1"/>
  <c r="B1272" i="4"/>
  <c r="A1272" i="4"/>
  <c r="F1272" i="4" s="1"/>
  <c r="B1271" i="4"/>
  <c r="A1271" i="4"/>
  <c r="F1271" i="4" s="1"/>
  <c r="B1270" i="4"/>
  <c r="A1270" i="4"/>
  <c r="F1270" i="4" s="1"/>
  <c r="B1269" i="4"/>
  <c r="A1269" i="4"/>
  <c r="F1269" i="4" s="1"/>
  <c r="B1268" i="4"/>
  <c r="A1268" i="4"/>
  <c r="F1268" i="4" s="1"/>
  <c r="B1267" i="4"/>
  <c r="A1267" i="4"/>
  <c r="F1267" i="4" s="1"/>
  <c r="B1266" i="4"/>
  <c r="A1266" i="4"/>
  <c r="F1266" i="4" s="1"/>
  <c r="B1265" i="4"/>
  <c r="A1265" i="4"/>
  <c r="F1265" i="4" s="1"/>
  <c r="B1264" i="4"/>
  <c r="A1264" i="4"/>
  <c r="F1264" i="4" s="1"/>
  <c r="B1263" i="4"/>
  <c r="A1263" i="4"/>
  <c r="F1263" i="4" s="1"/>
  <c r="B1262" i="4"/>
  <c r="A1262" i="4"/>
  <c r="F1262" i="4" s="1"/>
  <c r="B1261" i="4"/>
  <c r="A1261" i="4"/>
  <c r="F1261" i="4" s="1"/>
  <c r="B1260" i="4"/>
  <c r="A1260" i="4"/>
  <c r="F1260" i="4" s="1"/>
  <c r="B1259" i="4"/>
  <c r="A1259" i="4"/>
  <c r="F1259" i="4" s="1"/>
  <c r="B1258" i="4"/>
  <c r="A1258" i="4"/>
  <c r="F1258" i="4" s="1"/>
  <c r="B1257" i="4"/>
  <c r="A1257" i="4"/>
  <c r="F1257" i="4" s="1"/>
  <c r="B1256" i="4"/>
  <c r="A1256" i="4"/>
  <c r="F1256" i="4" s="1"/>
  <c r="B1255" i="4"/>
  <c r="A1255" i="4"/>
  <c r="F1255" i="4" s="1"/>
  <c r="B1254" i="4"/>
  <c r="A1254" i="4"/>
  <c r="F1254" i="4" s="1"/>
  <c r="B1253" i="4"/>
  <c r="A1253" i="4"/>
  <c r="F1253" i="4" s="1"/>
  <c r="B1252" i="4"/>
  <c r="A1252" i="4"/>
  <c r="F1252" i="4" s="1"/>
  <c r="B1251" i="4"/>
  <c r="A1251" i="4"/>
  <c r="F1251" i="4" s="1"/>
  <c r="B1250" i="4"/>
  <c r="A1250" i="4"/>
  <c r="F1250" i="4" s="1"/>
  <c r="B1249" i="4"/>
  <c r="A1249" i="4"/>
  <c r="F1249" i="4" s="1"/>
  <c r="B1248" i="4"/>
  <c r="A1248" i="4"/>
  <c r="F1248" i="4" s="1"/>
  <c r="B1247" i="4"/>
  <c r="A1247" i="4"/>
  <c r="F1247" i="4" s="1"/>
  <c r="B1246" i="4"/>
  <c r="A1246" i="4"/>
  <c r="F1246" i="4" s="1"/>
  <c r="B1245" i="4"/>
  <c r="A1245" i="4"/>
  <c r="F1245" i="4" s="1"/>
  <c r="B1244" i="4"/>
  <c r="A1244" i="4"/>
  <c r="F1244" i="4" s="1"/>
  <c r="B1243" i="4"/>
  <c r="A1243" i="4"/>
  <c r="F1243" i="4" s="1"/>
  <c r="B1242" i="4"/>
  <c r="A1242" i="4"/>
  <c r="F1242" i="4" s="1"/>
  <c r="B1241" i="4"/>
  <c r="A1241" i="4"/>
  <c r="F1241" i="4" s="1"/>
  <c r="B1240" i="4"/>
  <c r="A1240" i="4"/>
  <c r="F1240" i="4" s="1"/>
  <c r="B1239" i="4"/>
  <c r="A1239" i="4"/>
  <c r="F1239" i="4" s="1"/>
  <c r="B1238" i="4"/>
  <c r="A1238" i="4"/>
  <c r="F1238" i="4" s="1"/>
  <c r="B1237" i="4"/>
  <c r="A1237" i="4"/>
  <c r="F1237" i="4" s="1"/>
  <c r="B1236" i="4"/>
  <c r="A1236" i="4"/>
  <c r="F1236" i="4" s="1"/>
  <c r="B1235" i="4"/>
  <c r="A1235" i="4"/>
  <c r="F1235" i="4" s="1"/>
  <c r="B1234" i="4"/>
  <c r="A1234" i="4"/>
  <c r="F1234" i="4" s="1"/>
  <c r="B1233" i="4"/>
  <c r="A1233" i="4"/>
  <c r="F1233" i="4" s="1"/>
  <c r="B1232" i="4"/>
  <c r="A1232" i="4"/>
  <c r="F1232" i="4" s="1"/>
  <c r="B1231" i="4"/>
  <c r="A1231" i="4"/>
  <c r="F1231" i="4" s="1"/>
  <c r="B1230" i="4"/>
  <c r="A1230" i="4"/>
  <c r="F1230" i="4" s="1"/>
  <c r="B1229" i="4"/>
  <c r="A1229" i="4"/>
  <c r="F1229" i="4" s="1"/>
  <c r="B1228" i="4"/>
  <c r="A1228" i="4"/>
  <c r="F1228" i="4" s="1"/>
  <c r="B1227" i="4"/>
  <c r="A1227" i="4"/>
  <c r="F1227" i="4" s="1"/>
  <c r="B1226" i="4"/>
  <c r="A1226" i="4"/>
  <c r="F1226" i="4" s="1"/>
  <c r="B1225" i="4"/>
  <c r="A1225" i="4"/>
  <c r="F1225" i="4" s="1"/>
  <c r="B1224" i="4"/>
  <c r="A1224" i="4"/>
  <c r="F1224" i="4" s="1"/>
  <c r="B1223" i="4"/>
  <c r="A1223" i="4"/>
  <c r="F1223" i="4" s="1"/>
  <c r="B1222" i="4"/>
  <c r="A1222" i="4"/>
  <c r="F1222" i="4" s="1"/>
  <c r="B1221" i="4"/>
  <c r="A1221" i="4"/>
  <c r="F1221" i="4" s="1"/>
  <c r="B1220" i="4"/>
  <c r="A1220" i="4"/>
  <c r="F1220" i="4" s="1"/>
  <c r="B1219" i="4"/>
  <c r="A1219" i="4"/>
  <c r="F1219" i="4" s="1"/>
  <c r="B1218" i="4"/>
  <c r="A1218" i="4"/>
  <c r="F1218" i="4" s="1"/>
  <c r="B1217" i="4"/>
  <c r="A1217" i="4"/>
  <c r="F1217" i="4" s="1"/>
  <c r="B1216" i="4"/>
  <c r="A1216" i="4"/>
  <c r="F1216" i="4" s="1"/>
  <c r="B1215" i="4"/>
  <c r="A1215" i="4"/>
  <c r="F1215" i="4" s="1"/>
  <c r="B1214" i="4"/>
  <c r="A1214" i="4"/>
  <c r="F1214" i="4" s="1"/>
  <c r="B1213" i="4"/>
  <c r="A1213" i="4"/>
  <c r="F1213" i="4" s="1"/>
  <c r="B1212" i="4"/>
  <c r="A1212" i="4"/>
  <c r="F1212" i="4" s="1"/>
  <c r="B1211" i="4"/>
  <c r="A1211" i="4"/>
  <c r="F1211" i="4" s="1"/>
  <c r="B1210" i="4"/>
  <c r="A1210" i="4"/>
  <c r="F1210" i="4" s="1"/>
  <c r="B1209" i="4"/>
  <c r="A1209" i="4"/>
  <c r="F1209" i="4" s="1"/>
  <c r="B1208" i="4"/>
  <c r="A1208" i="4"/>
  <c r="F1208" i="4" s="1"/>
  <c r="B1207" i="4"/>
  <c r="A1207" i="4"/>
  <c r="F1207" i="4" s="1"/>
  <c r="B1206" i="4"/>
  <c r="A1206" i="4"/>
  <c r="F1206" i="4" s="1"/>
  <c r="B1205" i="4"/>
  <c r="A1205" i="4"/>
  <c r="F1205" i="4" s="1"/>
  <c r="B1204" i="4"/>
  <c r="A1204" i="4"/>
  <c r="F1204" i="4" s="1"/>
  <c r="B1203" i="4"/>
  <c r="A1203" i="4"/>
  <c r="F1203" i="4" s="1"/>
  <c r="B1202" i="4"/>
  <c r="A1202" i="4"/>
  <c r="F1202" i="4" s="1"/>
  <c r="B1201" i="4"/>
  <c r="A1201" i="4"/>
  <c r="F1201" i="4" s="1"/>
  <c r="B1200" i="4"/>
  <c r="A1200" i="4"/>
  <c r="F1200" i="4" s="1"/>
  <c r="B1199" i="4"/>
  <c r="A1199" i="4"/>
  <c r="F1199" i="4" s="1"/>
  <c r="B1198" i="4"/>
  <c r="A1198" i="4"/>
  <c r="F1198" i="4" s="1"/>
  <c r="B1197" i="4"/>
  <c r="A1197" i="4"/>
  <c r="F1197" i="4" s="1"/>
  <c r="B1196" i="4"/>
  <c r="A1196" i="4"/>
  <c r="F1196" i="4" s="1"/>
  <c r="B1195" i="4"/>
  <c r="A1195" i="4"/>
  <c r="F1195" i="4" s="1"/>
  <c r="B1194" i="4"/>
  <c r="A1194" i="4"/>
  <c r="F1194" i="4" s="1"/>
  <c r="B1193" i="4"/>
  <c r="A1193" i="4"/>
  <c r="F1193" i="4" s="1"/>
  <c r="B1192" i="4"/>
  <c r="A1192" i="4"/>
  <c r="F1192" i="4" s="1"/>
  <c r="B1191" i="4"/>
  <c r="A1191" i="4"/>
  <c r="F1191" i="4" s="1"/>
  <c r="B1190" i="4"/>
  <c r="A1190" i="4"/>
  <c r="F1190" i="4" s="1"/>
  <c r="B1189" i="4"/>
  <c r="A1189" i="4"/>
  <c r="F1189" i="4" s="1"/>
  <c r="B1188" i="4"/>
  <c r="A1188" i="4"/>
  <c r="F1188" i="4" s="1"/>
  <c r="B1187" i="4"/>
  <c r="A1187" i="4"/>
  <c r="F1187" i="4" s="1"/>
  <c r="B1186" i="4"/>
  <c r="A1186" i="4"/>
  <c r="F1186" i="4" s="1"/>
  <c r="B1185" i="4"/>
  <c r="A1185" i="4"/>
  <c r="F1185" i="4" s="1"/>
  <c r="B1184" i="4"/>
  <c r="A1184" i="4"/>
  <c r="F1184" i="4" s="1"/>
  <c r="B1183" i="4"/>
  <c r="A1183" i="4"/>
  <c r="F1183" i="4" s="1"/>
  <c r="B1182" i="4"/>
  <c r="A1182" i="4"/>
  <c r="F1182" i="4" s="1"/>
  <c r="B1181" i="4"/>
  <c r="A1181" i="4"/>
  <c r="F1181" i="4" s="1"/>
  <c r="B1180" i="4"/>
  <c r="A1180" i="4"/>
  <c r="F1180" i="4" s="1"/>
  <c r="B1179" i="4"/>
  <c r="A1179" i="4"/>
  <c r="F1179" i="4" s="1"/>
  <c r="B1178" i="4"/>
  <c r="A1178" i="4"/>
  <c r="F1178" i="4" s="1"/>
  <c r="B1177" i="4"/>
  <c r="A1177" i="4"/>
  <c r="F1177" i="4" s="1"/>
  <c r="B1176" i="4"/>
  <c r="A1176" i="4"/>
  <c r="F1176" i="4" s="1"/>
  <c r="B1175" i="4"/>
  <c r="A1175" i="4"/>
  <c r="F1175" i="4" s="1"/>
  <c r="B1174" i="4"/>
  <c r="A1174" i="4"/>
  <c r="F1174" i="4" s="1"/>
  <c r="B1173" i="4"/>
  <c r="A1173" i="4"/>
  <c r="F1173" i="4" s="1"/>
  <c r="B1172" i="4"/>
  <c r="A1172" i="4"/>
  <c r="F1172" i="4" s="1"/>
  <c r="B1171" i="4"/>
  <c r="A1171" i="4"/>
  <c r="F1171" i="4" s="1"/>
  <c r="B1170" i="4"/>
  <c r="A1170" i="4"/>
  <c r="F1170" i="4" s="1"/>
  <c r="B1169" i="4"/>
  <c r="A1169" i="4"/>
  <c r="F1169" i="4" s="1"/>
  <c r="B1168" i="4"/>
  <c r="A1168" i="4"/>
  <c r="F1168" i="4" s="1"/>
  <c r="B1167" i="4"/>
  <c r="A1167" i="4"/>
  <c r="F1167" i="4" s="1"/>
  <c r="B1166" i="4"/>
  <c r="A1166" i="4"/>
  <c r="F1166" i="4" s="1"/>
  <c r="B1165" i="4"/>
  <c r="A1165" i="4"/>
  <c r="F1165" i="4" s="1"/>
  <c r="B1164" i="4"/>
  <c r="A1164" i="4"/>
  <c r="F1164" i="4" s="1"/>
  <c r="B1163" i="4"/>
  <c r="A1163" i="4"/>
  <c r="F1163" i="4" s="1"/>
  <c r="B1162" i="4"/>
  <c r="A1162" i="4"/>
  <c r="F1162" i="4" s="1"/>
  <c r="B1161" i="4"/>
  <c r="A1161" i="4"/>
  <c r="F1161" i="4" s="1"/>
  <c r="B1160" i="4"/>
  <c r="A1160" i="4"/>
  <c r="F1160" i="4" s="1"/>
  <c r="B1159" i="4"/>
  <c r="A1159" i="4"/>
  <c r="F1159" i="4" s="1"/>
  <c r="B1158" i="4"/>
  <c r="A1158" i="4"/>
  <c r="F1158" i="4" s="1"/>
  <c r="B1157" i="4"/>
  <c r="A1157" i="4"/>
  <c r="F1157" i="4" s="1"/>
  <c r="B1156" i="4"/>
  <c r="A1156" i="4"/>
  <c r="F1156" i="4" s="1"/>
  <c r="B1155" i="4"/>
  <c r="A1155" i="4"/>
  <c r="F1155" i="4" s="1"/>
  <c r="B1154" i="4"/>
  <c r="A1154" i="4"/>
  <c r="F1154" i="4" s="1"/>
  <c r="B1153" i="4"/>
  <c r="A1153" i="4"/>
  <c r="F1153" i="4" s="1"/>
  <c r="B1152" i="4"/>
  <c r="A1152" i="4"/>
  <c r="F1152" i="4" s="1"/>
  <c r="B1151" i="4"/>
  <c r="A1151" i="4"/>
  <c r="F1151" i="4" s="1"/>
  <c r="B1150" i="4"/>
  <c r="A1150" i="4"/>
  <c r="F1150" i="4" s="1"/>
  <c r="B1149" i="4"/>
  <c r="A1149" i="4"/>
  <c r="F1149" i="4" s="1"/>
  <c r="B1148" i="4"/>
  <c r="A1148" i="4"/>
  <c r="F1148" i="4" s="1"/>
  <c r="B1147" i="4"/>
  <c r="A1147" i="4"/>
  <c r="F1147" i="4" s="1"/>
  <c r="B1146" i="4"/>
  <c r="A1146" i="4"/>
  <c r="F1146" i="4" s="1"/>
  <c r="B1145" i="4"/>
  <c r="A1145" i="4"/>
  <c r="F1145" i="4" s="1"/>
  <c r="B1144" i="4"/>
  <c r="A1144" i="4"/>
  <c r="F1144" i="4" s="1"/>
  <c r="B1143" i="4"/>
  <c r="A1143" i="4"/>
  <c r="F1143" i="4" s="1"/>
  <c r="B1142" i="4"/>
  <c r="A1142" i="4"/>
  <c r="F1142" i="4" s="1"/>
  <c r="B1141" i="4"/>
  <c r="A1141" i="4"/>
  <c r="F1141" i="4" s="1"/>
  <c r="B1140" i="4"/>
  <c r="A1140" i="4"/>
  <c r="F1140" i="4" s="1"/>
  <c r="B1139" i="4"/>
  <c r="A1139" i="4"/>
  <c r="F1139" i="4" s="1"/>
  <c r="B1138" i="4"/>
  <c r="A1138" i="4"/>
  <c r="F1138" i="4" s="1"/>
  <c r="B1137" i="4"/>
  <c r="A1137" i="4"/>
  <c r="F1137" i="4" s="1"/>
  <c r="B1136" i="4"/>
  <c r="A1136" i="4"/>
  <c r="F1136" i="4" s="1"/>
  <c r="B1135" i="4"/>
  <c r="A1135" i="4"/>
  <c r="F1135" i="4" s="1"/>
  <c r="B1134" i="4"/>
  <c r="A1134" i="4"/>
  <c r="F1134" i="4" s="1"/>
  <c r="B1133" i="4"/>
  <c r="A1133" i="4"/>
  <c r="F1133" i="4" s="1"/>
  <c r="B1132" i="4"/>
  <c r="A1132" i="4"/>
  <c r="F1132" i="4" s="1"/>
  <c r="B1131" i="4"/>
  <c r="A1131" i="4"/>
  <c r="F1131" i="4" s="1"/>
  <c r="B1130" i="4"/>
  <c r="A1130" i="4"/>
  <c r="F1130" i="4" s="1"/>
  <c r="B1129" i="4"/>
  <c r="A1129" i="4"/>
  <c r="F1129" i="4" s="1"/>
  <c r="B1128" i="4"/>
  <c r="A1128" i="4"/>
  <c r="F1128" i="4" s="1"/>
  <c r="B1127" i="4"/>
  <c r="A1127" i="4"/>
  <c r="F1127" i="4" s="1"/>
  <c r="B1126" i="4"/>
  <c r="A1126" i="4"/>
  <c r="F1126" i="4" s="1"/>
  <c r="B1125" i="4"/>
  <c r="A1125" i="4"/>
  <c r="F1125" i="4" s="1"/>
  <c r="B1124" i="4"/>
  <c r="A1124" i="4"/>
  <c r="F1124" i="4" s="1"/>
  <c r="B1123" i="4"/>
  <c r="A1123" i="4"/>
  <c r="F1123" i="4" s="1"/>
  <c r="B1122" i="4"/>
  <c r="A1122" i="4"/>
  <c r="F1122" i="4" s="1"/>
  <c r="B1121" i="4"/>
  <c r="A1121" i="4"/>
  <c r="F1121" i="4" s="1"/>
  <c r="B1120" i="4"/>
  <c r="A1120" i="4"/>
  <c r="F1120" i="4" s="1"/>
  <c r="B1119" i="4"/>
  <c r="A1119" i="4"/>
  <c r="F1119" i="4" s="1"/>
  <c r="B1118" i="4"/>
  <c r="A1118" i="4"/>
  <c r="F1118" i="4" s="1"/>
  <c r="B1117" i="4"/>
  <c r="A1117" i="4"/>
  <c r="F1117" i="4" s="1"/>
  <c r="B1116" i="4"/>
  <c r="A1116" i="4"/>
  <c r="F1116" i="4" s="1"/>
  <c r="B1115" i="4"/>
  <c r="A1115" i="4"/>
  <c r="F1115" i="4" s="1"/>
  <c r="B1114" i="4"/>
  <c r="A1114" i="4"/>
  <c r="F1114" i="4" s="1"/>
  <c r="B1113" i="4"/>
  <c r="A1113" i="4"/>
  <c r="F1113" i="4" s="1"/>
  <c r="B1112" i="4"/>
  <c r="A1112" i="4"/>
  <c r="F1112" i="4" s="1"/>
  <c r="B1111" i="4"/>
  <c r="A1111" i="4"/>
  <c r="F1111" i="4" s="1"/>
  <c r="B1110" i="4"/>
  <c r="A1110" i="4"/>
  <c r="F1110" i="4" s="1"/>
  <c r="B1109" i="4"/>
  <c r="A1109" i="4"/>
  <c r="F1109" i="4" s="1"/>
  <c r="B1108" i="4"/>
  <c r="A1108" i="4"/>
  <c r="F1108" i="4" s="1"/>
  <c r="B1107" i="4"/>
  <c r="A1107" i="4"/>
  <c r="F1107" i="4" s="1"/>
  <c r="B1106" i="4"/>
  <c r="A1106" i="4"/>
  <c r="F1106" i="4" s="1"/>
  <c r="B1105" i="4"/>
  <c r="A1105" i="4"/>
  <c r="F1105" i="4" s="1"/>
  <c r="B1104" i="4"/>
  <c r="A1104" i="4"/>
  <c r="F1104" i="4" s="1"/>
  <c r="B1103" i="4"/>
  <c r="A1103" i="4"/>
  <c r="F1103" i="4" s="1"/>
  <c r="B1102" i="4"/>
  <c r="A1102" i="4"/>
  <c r="F1102" i="4" s="1"/>
  <c r="B1101" i="4"/>
  <c r="A1101" i="4"/>
  <c r="F1101" i="4" s="1"/>
  <c r="B1100" i="4"/>
  <c r="A1100" i="4"/>
  <c r="F1100" i="4" s="1"/>
  <c r="B1099" i="4"/>
  <c r="A1099" i="4"/>
  <c r="F1099" i="4" s="1"/>
  <c r="B1098" i="4"/>
  <c r="A1098" i="4"/>
  <c r="F1098" i="4" s="1"/>
  <c r="B1097" i="4"/>
  <c r="A1097" i="4"/>
  <c r="F1097" i="4" s="1"/>
  <c r="B1096" i="4"/>
  <c r="A1096" i="4"/>
  <c r="F1096" i="4" s="1"/>
  <c r="B1095" i="4"/>
  <c r="A1095" i="4"/>
  <c r="F1095" i="4" s="1"/>
  <c r="B1094" i="4"/>
  <c r="A1094" i="4"/>
  <c r="F1094" i="4" s="1"/>
  <c r="B1093" i="4"/>
  <c r="A1093" i="4"/>
  <c r="F1093" i="4" s="1"/>
  <c r="B1092" i="4"/>
  <c r="A1092" i="4"/>
  <c r="F1092" i="4" s="1"/>
  <c r="B1091" i="4"/>
  <c r="A1091" i="4"/>
  <c r="F1091" i="4" s="1"/>
  <c r="B1090" i="4"/>
  <c r="A1090" i="4"/>
  <c r="F1090" i="4" s="1"/>
  <c r="B1089" i="4"/>
  <c r="A1089" i="4"/>
  <c r="F1089" i="4" s="1"/>
  <c r="B1088" i="4"/>
  <c r="A1088" i="4"/>
  <c r="F1088" i="4" s="1"/>
  <c r="B1087" i="4"/>
  <c r="A1087" i="4"/>
  <c r="F1087" i="4" s="1"/>
  <c r="B1086" i="4"/>
  <c r="A1086" i="4"/>
  <c r="F1086" i="4" s="1"/>
  <c r="B1085" i="4"/>
  <c r="A1085" i="4"/>
  <c r="F1085" i="4" s="1"/>
  <c r="B1084" i="4"/>
  <c r="A1084" i="4"/>
  <c r="F1084" i="4" s="1"/>
  <c r="B1083" i="4"/>
  <c r="A1083" i="4"/>
  <c r="F1083" i="4" s="1"/>
  <c r="B1082" i="4"/>
  <c r="A1082" i="4"/>
  <c r="F1082" i="4" s="1"/>
  <c r="B1081" i="4"/>
  <c r="A1081" i="4"/>
  <c r="F1081" i="4" s="1"/>
  <c r="B1080" i="4"/>
  <c r="A1080" i="4"/>
  <c r="F1080" i="4" s="1"/>
  <c r="B1079" i="4"/>
  <c r="A1079" i="4"/>
  <c r="F1079" i="4" s="1"/>
  <c r="B1078" i="4"/>
  <c r="A1078" i="4"/>
  <c r="F1078" i="4" s="1"/>
  <c r="B1077" i="4"/>
  <c r="A1077" i="4"/>
  <c r="F1077" i="4" s="1"/>
  <c r="B1076" i="4"/>
  <c r="A1076" i="4"/>
  <c r="F1076" i="4" s="1"/>
  <c r="B1075" i="4"/>
  <c r="A1075" i="4"/>
  <c r="F1075" i="4" s="1"/>
  <c r="B1074" i="4"/>
  <c r="A1074" i="4"/>
  <c r="F1074" i="4" s="1"/>
  <c r="B1073" i="4"/>
  <c r="A1073" i="4"/>
  <c r="F1073" i="4" s="1"/>
  <c r="B1072" i="4"/>
  <c r="A1072" i="4"/>
  <c r="F1072" i="4" s="1"/>
  <c r="B1071" i="4"/>
  <c r="A1071" i="4"/>
  <c r="F1071" i="4" s="1"/>
  <c r="B1070" i="4"/>
  <c r="A1070" i="4"/>
  <c r="F1070" i="4" s="1"/>
  <c r="B1069" i="4"/>
  <c r="A1069" i="4"/>
  <c r="F1069" i="4" s="1"/>
  <c r="B1068" i="4"/>
  <c r="A1068" i="4"/>
  <c r="F1068" i="4" s="1"/>
  <c r="B1067" i="4"/>
  <c r="A1067" i="4"/>
  <c r="F1067" i="4" s="1"/>
  <c r="B1066" i="4"/>
  <c r="A1066" i="4"/>
  <c r="F1066" i="4" s="1"/>
  <c r="B1065" i="4"/>
  <c r="A1065" i="4"/>
  <c r="F1065" i="4" s="1"/>
  <c r="B1064" i="4"/>
  <c r="A1064" i="4"/>
  <c r="F1064" i="4" s="1"/>
  <c r="B1063" i="4"/>
  <c r="A1063" i="4"/>
  <c r="F1063" i="4" s="1"/>
  <c r="B1062" i="4"/>
  <c r="A1062" i="4"/>
  <c r="F1062" i="4" s="1"/>
  <c r="B1061" i="4"/>
  <c r="A1061" i="4"/>
  <c r="F1061" i="4" s="1"/>
  <c r="B1060" i="4"/>
  <c r="A1060" i="4"/>
  <c r="F1060" i="4" s="1"/>
  <c r="B1059" i="4"/>
  <c r="A1059" i="4"/>
  <c r="F1059" i="4" s="1"/>
  <c r="B1058" i="4"/>
  <c r="A1058" i="4"/>
  <c r="F1058" i="4" s="1"/>
  <c r="B1057" i="4"/>
  <c r="A1057" i="4"/>
  <c r="F1057" i="4" s="1"/>
  <c r="B1056" i="4"/>
  <c r="A1056" i="4"/>
  <c r="F1056" i="4" s="1"/>
  <c r="B1055" i="4"/>
  <c r="A1055" i="4"/>
  <c r="F1055" i="4" s="1"/>
  <c r="B1054" i="4"/>
  <c r="A1054" i="4"/>
  <c r="F1054" i="4" s="1"/>
  <c r="B1053" i="4"/>
  <c r="A1053" i="4"/>
  <c r="F1053" i="4" s="1"/>
  <c r="B1052" i="4"/>
  <c r="A1052" i="4"/>
  <c r="F1052" i="4" s="1"/>
  <c r="B1051" i="4"/>
  <c r="A1051" i="4"/>
  <c r="F1051" i="4" s="1"/>
  <c r="B1050" i="4"/>
  <c r="A1050" i="4"/>
  <c r="F1050" i="4" s="1"/>
  <c r="B1049" i="4"/>
  <c r="A1049" i="4"/>
  <c r="F1049" i="4" s="1"/>
  <c r="B1048" i="4"/>
  <c r="A1048" i="4"/>
  <c r="F1048" i="4" s="1"/>
  <c r="B1047" i="4"/>
  <c r="A1047" i="4"/>
  <c r="F1047" i="4" s="1"/>
  <c r="B1046" i="4"/>
  <c r="A1046" i="4"/>
  <c r="F1046" i="4" s="1"/>
  <c r="B1045" i="4"/>
  <c r="A1045" i="4"/>
  <c r="F1045" i="4" s="1"/>
  <c r="B1044" i="4"/>
  <c r="A1044" i="4"/>
  <c r="F1044" i="4" s="1"/>
  <c r="B1043" i="4"/>
  <c r="A1043" i="4"/>
  <c r="F1043" i="4" s="1"/>
  <c r="B1042" i="4"/>
  <c r="A1042" i="4"/>
  <c r="F1042" i="4" s="1"/>
  <c r="B1041" i="4"/>
  <c r="A1041" i="4"/>
  <c r="F1041" i="4" s="1"/>
  <c r="B1040" i="4"/>
  <c r="A1040" i="4"/>
  <c r="F1040" i="4" s="1"/>
  <c r="B1039" i="4"/>
  <c r="A1039" i="4"/>
  <c r="F1039" i="4" s="1"/>
  <c r="B1038" i="4"/>
  <c r="A1038" i="4"/>
  <c r="F1038" i="4" s="1"/>
  <c r="B1037" i="4"/>
  <c r="A1037" i="4"/>
  <c r="F1037" i="4" s="1"/>
  <c r="B1036" i="4"/>
  <c r="A1036" i="4"/>
  <c r="F1036" i="4" s="1"/>
  <c r="B1035" i="4"/>
  <c r="A1035" i="4"/>
  <c r="F1035" i="4" s="1"/>
  <c r="B1034" i="4"/>
  <c r="A1034" i="4"/>
  <c r="F1034" i="4" s="1"/>
  <c r="B1033" i="4"/>
  <c r="A1033" i="4"/>
  <c r="F1033" i="4" s="1"/>
  <c r="B1032" i="4"/>
  <c r="A1032" i="4"/>
  <c r="F1032" i="4" s="1"/>
  <c r="B1031" i="4"/>
  <c r="A1031" i="4"/>
  <c r="F1031" i="4" s="1"/>
  <c r="B1030" i="4"/>
  <c r="A1030" i="4"/>
  <c r="F1030" i="4" s="1"/>
  <c r="B1029" i="4"/>
  <c r="A1029" i="4"/>
  <c r="F1029" i="4" s="1"/>
  <c r="B1028" i="4"/>
  <c r="A1028" i="4"/>
  <c r="F1028" i="4" s="1"/>
  <c r="B1027" i="4"/>
  <c r="A1027" i="4"/>
  <c r="F1027" i="4" s="1"/>
  <c r="B1026" i="4"/>
  <c r="A1026" i="4"/>
  <c r="F1026" i="4" s="1"/>
  <c r="B1025" i="4"/>
  <c r="A1025" i="4"/>
  <c r="F1025" i="4" s="1"/>
  <c r="B1024" i="4"/>
  <c r="A1024" i="4"/>
  <c r="F1024" i="4" s="1"/>
  <c r="B1023" i="4"/>
  <c r="A1023" i="4"/>
  <c r="F1023" i="4" s="1"/>
  <c r="B1022" i="4"/>
  <c r="A1022" i="4"/>
  <c r="F1022" i="4" s="1"/>
  <c r="B1021" i="4"/>
  <c r="A1021" i="4"/>
  <c r="F1021" i="4" s="1"/>
  <c r="B1020" i="4"/>
  <c r="A1020" i="4"/>
  <c r="F1020" i="4" s="1"/>
  <c r="B1019" i="4"/>
  <c r="A1019" i="4"/>
  <c r="F1019" i="4" s="1"/>
  <c r="B1018" i="4"/>
  <c r="A1018" i="4"/>
  <c r="F1018" i="4" s="1"/>
  <c r="B1017" i="4"/>
  <c r="A1017" i="4"/>
  <c r="F1017" i="4" s="1"/>
  <c r="B1016" i="4"/>
  <c r="A1016" i="4"/>
  <c r="F1016" i="4" s="1"/>
  <c r="B1015" i="4"/>
  <c r="A1015" i="4"/>
  <c r="F1015" i="4" s="1"/>
  <c r="B1014" i="4"/>
  <c r="A1014" i="4"/>
  <c r="F1014" i="4" s="1"/>
  <c r="B1013" i="4"/>
  <c r="A1013" i="4"/>
  <c r="F1013" i="4" s="1"/>
  <c r="B1012" i="4"/>
  <c r="A1012" i="4"/>
  <c r="F1012" i="4" s="1"/>
  <c r="B1011" i="4"/>
  <c r="A1011" i="4"/>
  <c r="F1011" i="4" s="1"/>
  <c r="B1010" i="4"/>
  <c r="A1010" i="4"/>
  <c r="F1010" i="4" s="1"/>
  <c r="B1009" i="4"/>
  <c r="A1009" i="4"/>
  <c r="F1009" i="4" s="1"/>
  <c r="B1008" i="4"/>
  <c r="A1008" i="4"/>
  <c r="F1008" i="4" s="1"/>
  <c r="B1007" i="4"/>
  <c r="A1007" i="4"/>
  <c r="F1007" i="4" s="1"/>
  <c r="B1006" i="4"/>
  <c r="A1006" i="4"/>
  <c r="F1006" i="4" s="1"/>
  <c r="B1005" i="4"/>
  <c r="A1005" i="4"/>
  <c r="F1005" i="4" s="1"/>
  <c r="B1004" i="4"/>
  <c r="A1004" i="4"/>
  <c r="F1004" i="4" s="1"/>
  <c r="B1003" i="4"/>
  <c r="A1003" i="4"/>
  <c r="F1003" i="4" s="1"/>
  <c r="B1002" i="4"/>
  <c r="A1002" i="4"/>
  <c r="F1002" i="4" s="1"/>
  <c r="B1001" i="4"/>
  <c r="A1001" i="4"/>
  <c r="F1001" i="4" s="1"/>
  <c r="B1000" i="4"/>
  <c r="A1000" i="4"/>
  <c r="F1000" i="4" s="1"/>
  <c r="B999" i="4"/>
  <c r="A999" i="4"/>
  <c r="F999" i="4" s="1"/>
  <c r="B998" i="4"/>
  <c r="A998" i="4"/>
  <c r="F998" i="4" s="1"/>
  <c r="B997" i="4"/>
  <c r="A997" i="4"/>
  <c r="F997" i="4" s="1"/>
  <c r="B996" i="4"/>
  <c r="A996" i="4"/>
  <c r="F996" i="4" s="1"/>
  <c r="B995" i="4"/>
  <c r="A995" i="4"/>
  <c r="F995" i="4" s="1"/>
  <c r="B994" i="4"/>
  <c r="A994" i="4"/>
  <c r="F994" i="4" s="1"/>
  <c r="B993" i="4"/>
  <c r="A993" i="4"/>
  <c r="F993" i="4" s="1"/>
  <c r="B992" i="4"/>
  <c r="A992" i="4"/>
  <c r="F992" i="4" s="1"/>
  <c r="B991" i="4"/>
  <c r="A991" i="4"/>
  <c r="F991" i="4" s="1"/>
  <c r="B990" i="4"/>
  <c r="A990" i="4"/>
  <c r="F990" i="4" s="1"/>
  <c r="B989" i="4"/>
  <c r="A989" i="4"/>
  <c r="F989" i="4" s="1"/>
  <c r="B988" i="4"/>
  <c r="A988" i="4"/>
  <c r="F988" i="4" s="1"/>
  <c r="B987" i="4"/>
  <c r="A987" i="4"/>
  <c r="F987" i="4" s="1"/>
  <c r="B986" i="4"/>
  <c r="A986" i="4"/>
  <c r="F986" i="4" s="1"/>
  <c r="B985" i="4"/>
  <c r="A985" i="4"/>
  <c r="F985" i="4" s="1"/>
  <c r="B984" i="4"/>
  <c r="A984" i="4"/>
  <c r="F984" i="4" s="1"/>
  <c r="B983" i="4"/>
  <c r="A983" i="4"/>
  <c r="F983" i="4" s="1"/>
  <c r="B982" i="4"/>
  <c r="A982" i="4"/>
  <c r="F982" i="4" s="1"/>
  <c r="B981" i="4"/>
  <c r="A981" i="4"/>
  <c r="F981" i="4" s="1"/>
  <c r="B980" i="4"/>
  <c r="A980" i="4"/>
  <c r="F980" i="4" s="1"/>
  <c r="B979" i="4"/>
  <c r="A979" i="4"/>
  <c r="F979" i="4" s="1"/>
  <c r="B978" i="4"/>
  <c r="A978" i="4"/>
  <c r="F978" i="4" s="1"/>
  <c r="B977" i="4"/>
  <c r="A977" i="4"/>
  <c r="F977" i="4" s="1"/>
  <c r="B976" i="4"/>
  <c r="A976" i="4"/>
  <c r="F976" i="4" s="1"/>
  <c r="B975" i="4"/>
  <c r="A975" i="4"/>
  <c r="F975" i="4" s="1"/>
  <c r="B974" i="4"/>
  <c r="A974" i="4"/>
  <c r="F974" i="4" s="1"/>
  <c r="B973" i="4"/>
  <c r="A973" i="4"/>
  <c r="F973" i="4" s="1"/>
  <c r="B972" i="4"/>
  <c r="A972" i="4"/>
  <c r="F972" i="4" s="1"/>
  <c r="B971" i="4"/>
  <c r="A971" i="4"/>
  <c r="F971" i="4" s="1"/>
  <c r="B970" i="4"/>
  <c r="A970" i="4"/>
  <c r="F970" i="4" s="1"/>
  <c r="B969" i="4"/>
  <c r="A969" i="4"/>
  <c r="F969" i="4" s="1"/>
  <c r="B968" i="4"/>
  <c r="A968" i="4"/>
  <c r="F968" i="4" s="1"/>
  <c r="B967" i="4"/>
  <c r="A967" i="4"/>
  <c r="F967" i="4" s="1"/>
  <c r="B966" i="4"/>
  <c r="A966" i="4"/>
  <c r="F966" i="4" s="1"/>
  <c r="B965" i="4"/>
  <c r="A965" i="4"/>
  <c r="F965" i="4" s="1"/>
  <c r="B964" i="4"/>
  <c r="A964" i="4"/>
  <c r="F964" i="4" s="1"/>
  <c r="B963" i="4"/>
  <c r="A963" i="4"/>
  <c r="F963" i="4" s="1"/>
  <c r="B962" i="4"/>
  <c r="A962" i="4"/>
  <c r="F962" i="4" s="1"/>
  <c r="B961" i="4"/>
  <c r="A961" i="4"/>
  <c r="F961" i="4" s="1"/>
  <c r="B960" i="4"/>
  <c r="A960" i="4"/>
  <c r="F960" i="4" s="1"/>
  <c r="B959" i="4"/>
  <c r="A959" i="4"/>
  <c r="F959" i="4" s="1"/>
  <c r="B958" i="4"/>
  <c r="A958" i="4"/>
  <c r="F958" i="4" s="1"/>
  <c r="B957" i="4"/>
  <c r="A957" i="4"/>
  <c r="F957" i="4" s="1"/>
  <c r="B956" i="4"/>
  <c r="A956" i="4"/>
  <c r="F956" i="4" s="1"/>
  <c r="B955" i="4"/>
  <c r="A955" i="4"/>
  <c r="F955" i="4" s="1"/>
  <c r="B954" i="4"/>
  <c r="A954" i="4"/>
  <c r="F954" i="4" s="1"/>
  <c r="B953" i="4"/>
  <c r="A953" i="4"/>
  <c r="F953" i="4" s="1"/>
  <c r="B952" i="4"/>
  <c r="A952" i="4"/>
  <c r="F952" i="4" s="1"/>
  <c r="B951" i="4"/>
  <c r="A951" i="4"/>
  <c r="F951" i="4" s="1"/>
  <c r="B950" i="4"/>
  <c r="A950" i="4"/>
  <c r="F950" i="4" s="1"/>
  <c r="B949" i="4"/>
  <c r="A949" i="4"/>
  <c r="F949" i="4" s="1"/>
  <c r="B948" i="4"/>
  <c r="A948" i="4"/>
  <c r="F948" i="4" s="1"/>
  <c r="B947" i="4"/>
  <c r="A947" i="4"/>
  <c r="F947" i="4" s="1"/>
  <c r="B946" i="4"/>
  <c r="A946" i="4"/>
  <c r="F946" i="4" s="1"/>
  <c r="B945" i="4"/>
  <c r="A945" i="4"/>
  <c r="F945" i="4" s="1"/>
  <c r="B944" i="4"/>
  <c r="A944" i="4"/>
  <c r="F944" i="4" s="1"/>
  <c r="B943" i="4"/>
  <c r="A943" i="4"/>
  <c r="F943" i="4" s="1"/>
  <c r="B942" i="4"/>
  <c r="A942" i="4"/>
  <c r="F942" i="4" s="1"/>
  <c r="B941" i="4"/>
  <c r="A941" i="4"/>
  <c r="F941" i="4" s="1"/>
  <c r="B940" i="4"/>
  <c r="A940" i="4"/>
  <c r="F940" i="4" s="1"/>
  <c r="B939" i="4"/>
  <c r="A939" i="4"/>
  <c r="F939" i="4" s="1"/>
  <c r="B938" i="4"/>
  <c r="A938" i="4"/>
  <c r="F938" i="4" s="1"/>
  <c r="B937" i="4"/>
  <c r="A937" i="4"/>
  <c r="F937" i="4" s="1"/>
  <c r="B936" i="4"/>
  <c r="A936" i="4"/>
  <c r="F936" i="4" s="1"/>
  <c r="B935" i="4"/>
  <c r="A935" i="4"/>
  <c r="F935" i="4" s="1"/>
  <c r="B934" i="4"/>
  <c r="A934" i="4"/>
  <c r="F934" i="4" s="1"/>
  <c r="B933" i="4"/>
  <c r="A933" i="4"/>
  <c r="F933" i="4" s="1"/>
  <c r="B932" i="4"/>
  <c r="A932" i="4"/>
  <c r="F932" i="4" s="1"/>
  <c r="B931" i="4"/>
  <c r="A931" i="4"/>
  <c r="F931" i="4" s="1"/>
  <c r="B930" i="4"/>
  <c r="A930" i="4"/>
  <c r="F930" i="4" s="1"/>
  <c r="B929" i="4"/>
  <c r="A929" i="4"/>
  <c r="F929" i="4" s="1"/>
  <c r="B928" i="4"/>
  <c r="A928" i="4"/>
  <c r="F928" i="4" s="1"/>
  <c r="B927" i="4"/>
  <c r="A927" i="4"/>
  <c r="F927" i="4" s="1"/>
  <c r="B926" i="4"/>
  <c r="A926" i="4"/>
  <c r="F926" i="4" s="1"/>
  <c r="B925" i="4"/>
  <c r="A925" i="4"/>
  <c r="F925" i="4" s="1"/>
  <c r="B924" i="4"/>
  <c r="A924" i="4"/>
  <c r="F924" i="4" s="1"/>
  <c r="B923" i="4"/>
  <c r="A923" i="4"/>
  <c r="F923" i="4" s="1"/>
  <c r="B922" i="4"/>
  <c r="A922" i="4"/>
  <c r="F922" i="4" s="1"/>
  <c r="B921" i="4"/>
  <c r="A921" i="4"/>
  <c r="F921" i="4" s="1"/>
  <c r="B920" i="4"/>
  <c r="A920" i="4"/>
  <c r="F920" i="4" s="1"/>
  <c r="B919" i="4"/>
  <c r="A919" i="4"/>
  <c r="F919" i="4" s="1"/>
  <c r="B918" i="4"/>
  <c r="A918" i="4"/>
  <c r="F918" i="4" s="1"/>
  <c r="B917" i="4"/>
  <c r="A917" i="4"/>
  <c r="F917" i="4" s="1"/>
  <c r="B916" i="4"/>
  <c r="A916" i="4"/>
  <c r="F916" i="4" s="1"/>
  <c r="B915" i="4"/>
  <c r="A915" i="4"/>
  <c r="F915" i="4" s="1"/>
  <c r="B914" i="4"/>
  <c r="A914" i="4"/>
  <c r="F914" i="4" s="1"/>
  <c r="B913" i="4"/>
  <c r="A913" i="4"/>
  <c r="F913" i="4" s="1"/>
  <c r="B912" i="4"/>
  <c r="A912" i="4"/>
  <c r="F912" i="4" s="1"/>
  <c r="B911" i="4"/>
  <c r="A911" i="4"/>
  <c r="F911" i="4" s="1"/>
  <c r="B910" i="4"/>
  <c r="A910" i="4"/>
  <c r="F910" i="4" s="1"/>
  <c r="B909" i="4"/>
  <c r="A909" i="4"/>
  <c r="F909" i="4" s="1"/>
  <c r="B908" i="4"/>
  <c r="A908" i="4"/>
  <c r="F908" i="4" s="1"/>
  <c r="B907" i="4"/>
  <c r="A907" i="4"/>
  <c r="F907" i="4" s="1"/>
  <c r="B906" i="4"/>
  <c r="A906" i="4"/>
  <c r="F906" i="4" s="1"/>
  <c r="B905" i="4"/>
  <c r="A905" i="4"/>
  <c r="F905" i="4" s="1"/>
  <c r="B904" i="4"/>
  <c r="A904" i="4"/>
  <c r="F904" i="4" s="1"/>
  <c r="B903" i="4"/>
  <c r="A903" i="4"/>
  <c r="F903" i="4" s="1"/>
  <c r="B902" i="4"/>
  <c r="A902" i="4"/>
  <c r="F902" i="4" s="1"/>
  <c r="B901" i="4"/>
  <c r="A901" i="4"/>
  <c r="F901" i="4" s="1"/>
  <c r="B900" i="4"/>
  <c r="A900" i="4"/>
  <c r="F900" i="4" s="1"/>
  <c r="B899" i="4"/>
  <c r="A899" i="4"/>
  <c r="F899" i="4" s="1"/>
  <c r="B898" i="4"/>
  <c r="A898" i="4"/>
  <c r="F898" i="4" s="1"/>
  <c r="B897" i="4"/>
  <c r="A897" i="4"/>
  <c r="F897" i="4" s="1"/>
  <c r="B896" i="4"/>
  <c r="A896" i="4"/>
  <c r="F896" i="4" s="1"/>
  <c r="B895" i="4"/>
  <c r="A895" i="4"/>
  <c r="F895" i="4" s="1"/>
  <c r="B894" i="4"/>
  <c r="A894" i="4"/>
  <c r="F894" i="4" s="1"/>
  <c r="B893" i="4"/>
  <c r="A893" i="4"/>
  <c r="F893" i="4" s="1"/>
  <c r="B892" i="4"/>
  <c r="A892" i="4"/>
  <c r="F892" i="4" s="1"/>
  <c r="B891" i="4"/>
  <c r="A891" i="4"/>
  <c r="F891" i="4" s="1"/>
  <c r="B890" i="4"/>
  <c r="A890" i="4"/>
  <c r="F890" i="4" s="1"/>
  <c r="B889" i="4"/>
  <c r="A889" i="4"/>
  <c r="F889" i="4" s="1"/>
  <c r="B888" i="4"/>
  <c r="A888" i="4"/>
  <c r="F888" i="4" s="1"/>
  <c r="B887" i="4"/>
  <c r="A887" i="4"/>
  <c r="F887" i="4" s="1"/>
  <c r="B886" i="4"/>
  <c r="A886" i="4"/>
  <c r="F886" i="4" s="1"/>
  <c r="B885" i="4"/>
  <c r="A885" i="4"/>
  <c r="F885" i="4" s="1"/>
  <c r="B884" i="4"/>
  <c r="A884" i="4"/>
  <c r="F884" i="4" s="1"/>
  <c r="B883" i="4"/>
  <c r="A883" i="4"/>
  <c r="F883" i="4" s="1"/>
  <c r="B882" i="4"/>
  <c r="A882" i="4"/>
  <c r="F882" i="4" s="1"/>
  <c r="B881" i="4"/>
  <c r="A881" i="4"/>
  <c r="F881" i="4" s="1"/>
  <c r="B880" i="4"/>
  <c r="A880" i="4"/>
  <c r="F880" i="4" s="1"/>
  <c r="B879" i="4"/>
  <c r="A879" i="4"/>
  <c r="F879" i="4" s="1"/>
  <c r="B878" i="4"/>
  <c r="A878" i="4"/>
  <c r="F878" i="4" s="1"/>
  <c r="B877" i="4"/>
  <c r="A877" i="4"/>
  <c r="F877" i="4" s="1"/>
  <c r="B876" i="4"/>
  <c r="A876" i="4"/>
  <c r="F876" i="4" s="1"/>
  <c r="B875" i="4"/>
  <c r="A875" i="4"/>
  <c r="F875" i="4" s="1"/>
  <c r="B874" i="4"/>
  <c r="A874" i="4"/>
  <c r="F874" i="4" s="1"/>
  <c r="B873" i="4"/>
  <c r="A873" i="4"/>
  <c r="F873" i="4" s="1"/>
  <c r="B872" i="4"/>
  <c r="A872" i="4"/>
  <c r="F872" i="4" s="1"/>
  <c r="B871" i="4"/>
  <c r="A871" i="4"/>
  <c r="F871" i="4" s="1"/>
  <c r="B870" i="4"/>
  <c r="A870" i="4"/>
  <c r="F870" i="4" s="1"/>
  <c r="B869" i="4"/>
  <c r="A869" i="4"/>
  <c r="F869" i="4" s="1"/>
  <c r="B868" i="4"/>
  <c r="A868" i="4"/>
  <c r="F868" i="4" s="1"/>
  <c r="B867" i="4"/>
  <c r="A867" i="4"/>
  <c r="F867" i="4" s="1"/>
  <c r="B866" i="4"/>
  <c r="A866" i="4"/>
  <c r="F866" i="4" s="1"/>
  <c r="B865" i="4"/>
  <c r="A865" i="4"/>
  <c r="F865" i="4" s="1"/>
  <c r="B864" i="4"/>
  <c r="A864" i="4"/>
  <c r="F864" i="4" s="1"/>
  <c r="B863" i="4"/>
  <c r="A863" i="4"/>
  <c r="F863" i="4" s="1"/>
  <c r="B862" i="4"/>
  <c r="A862" i="4"/>
  <c r="F862" i="4" s="1"/>
  <c r="B861" i="4"/>
  <c r="A861" i="4"/>
  <c r="F861" i="4" s="1"/>
  <c r="B860" i="4"/>
  <c r="A860" i="4"/>
  <c r="F860" i="4" s="1"/>
  <c r="B859" i="4"/>
  <c r="A859" i="4"/>
  <c r="F859" i="4" s="1"/>
  <c r="B858" i="4"/>
  <c r="A858" i="4"/>
  <c r="F858" i="4" s="1"/>
  <c r="B857" i="4"/>
  <c r="A857" i="4"/>
  <c r="F857" i="4" s="1"/>
  <c r="B856" i="4"/>
  <c r="A856" i="4"/>
  <c r="F856" i="4" s="1"/>
  <c r="B854" i="4"/>
  <c r="A854" i="4"/>
  <c r="F854" i="4" s="1"/>
  <c r="B853" i="4"/>
  <c r="A853" i="4"/>
  <c r="F853" i="4" s="1"/>
  <c r="B852" i="4"/>
  <c r="A852" i="4"/>
  <c r="F852" i="4" s="1"/>
  <c r="B851" i="4"/>
  <c r="A851" i="4"/>
  <c r="F851" i="4" s="1"/>
  <c r="B850" i="4"/>
  <c r="A850" i="4"/>
  <c r="F850" i="4" s="1"/>
  <c r="B849" i="4"/>
  <c r="A849" i="4"/>
  <c r="F849" i="4" s="1"/>
  <c r="B848" i="4"/>
  <c r="A848" i="4"/>
  <c r="F848" i="4" s="1"/>
  <c r="B847" i="4"/>
  <c r="A847" i="4"/>
  <c r="F847" i="4" s="1"/>
  <c r="B846" i="4"/>
  <c r="A846" i="4"/>
  <c r="F846" i="4" s="1"/>
  <c r="B845" i="4"/>
  <c r="A845" i="4"/>
  <c r="F845" i="4" s="1"/>
  <c r="B844" i="4"/>
  <c r="A844" i="4"/>
  <c r="F844" i="4" s="1"/>
  <c r="B843" i="4"/>
  <c r="A843" i="4"/>
  <c r="F843" i="4" s="1"/>
  <c r="B842" i="4"/>
  <c r="A842" i="4"/>
  <c r="F842" i="4" s="1"/>
  <c r="B841" i="4"/>
  <c r="A841" i="4"/>
  <c r="F841" i="4" s="1"/>
  <c r="B840" i="4"/>
  <c r="A840" i="4"/>
  <c r="F840" i="4" s="1"/>
  <c r="B839" i="4"/>
  <c r="A839" i="4"/>
  <c r="F839" i="4" s="1"/>
  <c r="B838" i="4"/>
  <c r="A838" i="4"/>
  <c r="F838" i="4" s="1"/>
  <c r="B837" i="4"/>
  <c r="A837" i="4"/>
  <c r="F837" i="4" s="1"/>
  <c r="B836" i="4"/>
  <c r="A836" i="4"/>
  <c r="F836" i="4" s="1"/>
  <c r="B835" i="4"/>
  <c r="A835" i="4"/>
  <c r="F835" i="4" s="1"/>
  <c r="B834" i="4"/>
  <c r="A834" i="4"/>
  <c r="F834" i="4" s="1"/>
  <c r="B833" i="4"/>
  <c r="A833" i="4"/>
  <c r="F833" i="4" s="1"/>
  <c r="B832" i="4"/>
  <c r="A832" i="4"/>
  <c r="F832" i="4" s="1"/>
  <c r="B831" i="4"/>
  <c r="A831" i="4"/>
  <c r="F831" i="4" s="1"/>
  <c r="B830" i="4"/>
  <c r="A830" i="4"/>
  <c r="F830" i="4" s="1"/>
  <c r="B829" i="4"/>
  <c r="A829" i="4"/>
  <c r="F829" i="4" s="1"/>
  <c r="B828" i="4"/>
  <c r="A828" i="4"/>
  <c r="F828" i="4" s="1"/>
  <c r="B827" i="4"/>
  <c r="A827" i="4"/>
  <c r="F827" i="4" s="1"/>
  <c r="B826" i="4"/>
  <c r="A826" i="4"/>
  <c r="F826" i="4" s="1"/>
  <c r="B825" i="4"/>
  <c r="A825" i="4"/>
  <c r="F825" i="4" s="1"/>
  <c r="B824" i="4"/>
  <c r="A824" i="4"/>
  <c r="F824" i="4" s="1"/>
  <c r="B823" i="4"/>
  <c r="A823" i="4"/>
  <c r="F823" i="4" s="1"/>
  <c r="B822" i="4"/>
  <c r="A822" i="4"/>
  <c r="F822" i="4" s="1"/>
  <c r="B821" i="4"/>
  <c r="A821" i="4"/>
  <c r="F821" i="4" s="1"/>
  <c r="B820" i="4"/>
  <c r="A820" i="4"/>
  <c r="F820" i="4" s="1"/>
  <c r="B819" i="4"/>
  <c r="A819" i="4"/>
  <c r="F819" i="4" s="1"/>
  <c r="B818" i="4"/>
  <c r="A818" i="4"/>
  <c r="F818" i="4" s="1"/>
  <c r="B817" i="4"/>
  <c r="A817" i="4"/>
  <c r="F817" i="4" s="1"/>
  <c r="B816" i="4"/>
  <c r="A816" i="4"/>
  <c r="F816" i="4" s="1"/>
  <c r="B815" i="4"/>
  <c r="A815" i="4"/>
  <c r="F815" i="4" s="1"/>
  <c r="B814" i="4"/>
  <c r="A814" i="4"/>
  <c r="F814" i="4" s="1"/>
  <c r="B813" i="4"/>
  <c r="A813" i="4"/>
  <c r="F813" i="4" s="1"/>
  <c r="B812" i="4"/>
  <c r="A812" i="4"/>
  <c r="F812" i="4" s="1"/>
  <c r="B811" i="4"/>
  <c r="A811" i="4"/>
  <c r="F811" i="4" s="1"/>
  <c r="B810" i="4"/>
  <c r="A810" i="4"/>
  <c r="F810" i="4" s="1"/>
  <c r="B809" i="4"/>
  <c r="A809" i="4"/>
  <c r="F809" i="4" s="1"/>
  <c r="B808" i="4"/>
  <c r="A808" i="4"/>
  <c r="F808" i="4" s="1"/>
  <c r="B807" i="4"/>
  <c r="A807" i="4"/>
  <c r="F807" i="4" s="1"/>
  <c r="B806" i="4"/>
  <c r="A806" i="4"/>
  <c r="F806" i="4" s="1"/>
  <c r="B805" i="4"/>
  <c r="A805" i="4"/>
  <c r="F805" i="4" s="1"/>
  <c r="B804" i="4"/>
  <c r="A804" i="4"/>
  <c r="F804" i="4" s="1"/>
  <c r="B803" i="4"/>
  <c r="A803" i="4"/>
  <c r="F803" i="4" s="1"/>
  <c r="B802" i="4"/>
  <c r="A802" i="4"/>
  <c r="F802" i="4" s="1"/>
  <c r="B801" i="4"/>
  <c r="A801" i="4"/>
  <c r="F801" i="4" s="1"/>
  <c r="B800" i="4"/>
  <c r="A800" i="4"/>
  <c r="F800" i="4" s="1"/>
  <c r="B799" i="4"/>
  <c r="A799" i="4"/>
  <c r="F799" i="4" s="1"/>
  <c r="B798" i="4"/>
  <c r="A798" i="4"/>
  <c r="F798" i="4" s="1"/>
  <c r="B797" i="4"/>
  <c r="A797" i="4"/>
  <c r="F797" i="4" s="1"/>
  <c r="B796" i="4"/>
  <c r="A796" i="4"/>
  <c r="F796" i="4" s="1"/>
  <c r="B795" i="4"/>
  <c r="A795" i="4"/>
  <c r="F795" i="4" s="1"/>
  <c r="B794" i="4"/>
  <c r="A794" i="4"/>
  <c r="F794" i="4" s="1"/>
  <c r="B793" i="4"/>
  <c r="A793" i="4"/>
  <c r="F793" i="4" s="1"/>
  <c r="B792" i="4"/>
  <c r="A792" i="4"/>
  <c r="F792" i="4" s="1"/>
  <c r="B791" i="4"/>
  <c r="A791" i="4"/>
  <c r="F791" i="4" s="1"/>
  <c r="B790" i="4"/>
  <c r="A790" i="4"/>
  <c r="F790" i="4" s="1"/>
  <c r="B789" i="4"/>
  <c r="A789" i="4"/>
  <c r="F789" i="4" s="1"/>
  <c r="B788" i="4"/>
  <c r="A788" i="4"/>
  <c r="F788" i="4" s="1"/>
  <c r="B787" i="4"/>
  <c r="A787" i="4"/>
  <c r="F787" i="4" s="1"/>
  <c r="B786" i="4"/>
  <c r="A786" i="4"/>
  <c r="F786" i="4" s="1"/>
  <c r="B785" i="4"/>
  <c r="A785" i="4"/>
  <c r="F785" i="4" s="1"/>
  <c r="B784" i="4"/>
  <c r="A784" i="4"/>
  <c r="F784" i="4" s="1"/>
  <c r="B783" i="4"/>
  <c r="A783" i="4"/>
  <c r="F783" i="4" s="1"/>
  <c r="B782" i="4"/>
  <c r="A782" i="4"/>
  <c r="F782" i="4" s="1"/>
  <c r="B781" i="4"/>
  <c r="A781" i="4"/>
  <c r="F781" i="4" s="1"/>
  <c r="B780" i="4"/>
  <c r="A780" i="4"/>
  <c r="F780" i="4" s="1"/>
  <c r="B779" i="4"/>
  <c r="A779" i="4"/>
  <c r="F779" i="4" s="1"/>
  <c r="B778" i="4"/>
  <c r="A778" i="4"/>
  <c r="F778" i="4" s="1"/>
  <c r="B777" i="4"/>
  <c r="A777" i="4"/>
  <c r="F777" i="4" s="1"/>
  <c r="B776" i="4"/>
  <c r="A776" i="4"/>
  <c r="F776" i="4" s="1"/>
  <c r="B775" i="4"/>
  <c r="A775" i="4"/>
  <c r="F775" i="4" s="1"/>
  <c r="B774" i="4"/>
  <c r="A774" i="4"/>
  <c r="F774" i="4" s="1"/>
  <c r="B773" i="4"/>
  <c r="A773" i="4"/>
  <c r="F773" i="4" s="1"/>
  <c r="B772" i="4"/>
  <c r="A772" i="4"/>
  <c r="F772" i="4" s="1"/>
  <c r="B771" i="4"/>
  <c r="A771" i="4"/>
  <c r="F771" i="4" s="1"/>
  <c r="B770" i="4"/>
  <c r="A770" i="4"/>
  <c r="F770" i="4" s="1"/>
  <c r="B769" i="4"/>
  <c r="A769" i="4"/>
  <c r="F769" i="4" s="1"/>
  <c r="B768" i="4"/>
  <c r="A768" i="4"/>
  <c r="F768" i="4" s="1"/>
  <c r="B767" i="4"/>
  <c r="A767" i="4"/>
  <c r="F767" i="4" s="1"/>
  <c r="B766" i="4"/>
  <c r="A766" i="4"/>
  <c r="F766" i="4" s="1"/>
  <c r="B765" i="4"/>
  <c r="A765" i="4"/>
  <c r="F765" i="4" s="1"/>
  <c r="B764" i="4"/>
  <c r="A764" i="4"/>
  <c r="F764" i="4" s="1"/>
  <c r="B763" i="4"/>
  <c r="A763" i="4"/>
  <c r="F763" i="4" s="1"/>
  <c r="B762" i="4"/>
  <c r="A762" i="4"/>
  <c r="F762" i="4" s="1"/>
  <c r="B761" i="4"/>
  <c r="A761" i="4"/>
  <c r="F761" i="4" s="1"/>
  <c r="B760" i="4"/>
  <c r="A760" i="4"/>
  <c r="F760" i="4" s="1"/>
  <c r="B759" i="4"/>
  <c r="A759" i="4"/>
  <c r="F759" i="4" s="1"/>
  <c r="B758" i="4"/>
  <c r="A758" i="4"/>
  <c r="F758" i="4" s="1"/>
  <c r="B757" i="4"/>
  <c r="A757" i="4"/>
  <c r="F757" i="4" s="1"/>
  <c r="B756" i="4"/>
  <c r="A756" i="4"/>
  <c r="F756" i="4" s="1"/>
  <c r="B755" i="4"/>
  <c r="A755" i="4"/>
  <c r="F755" i="4" s="1"/>
  <c r="B754" i="4"/>
  <c r="A754" i="4"/>
  <c r="F754" i="4" s="1"/>
  <c r="B753" i="4"/>
  <c r="A753" i="4"/>
  <c r="F753" i="4" s="1"/>
  <c r="B752" i="4"/>
  <c r="A752" i="4"/>
  <c r="F752" i="4" s="1"/>
  <c r="B751" i="4"/>
  <c r="A751" i="4"/>
  <c r="F751" i="4" s="1"/>
  <c r="B750" i="4"/>
  <c r="A750" i="4"/>
  <c r="F750" i="4" s="1"/>
  <c r="B749" i="4"/>
  <c r="A749" i="4"/>
  <c r="F749" i="4" s="1"/>
  <c r="B748" i="4"/>
  <c r="A748" i="4"/>
  <c r="F748" i="4" s="1"/>
  <c r="B747" i="4"/>
  <c r="A747" i="4"/>
  <c r="F747" i="4" s="1"/>
  <c r="B746" i="4"/>
  <c r="A746" i="4"/>
  <c r="F746" i="4" s="1"/>
  <c r="B745" i="4"/>
  <c r="A745" i="4"/>
  <c r="F745" i="4" s="1"/>
  <c r="B744" i="4"/>
  <c r="A744" i="4"/>
  <c r="F744" i="4" s="1"/>
  <c r="B743" i="4"/>
  <c r="A743" i="4"/>
  <c r="F743" i="4" s="1"/>
  <c r="B742" i="4"/>
  <c r="A742" i="4"/>
  <c r="F742" i="4" s="1"/>
  <c r="B741" i="4"/>
  <c r="A741" i="4"/>
  <c r="F741" i="4" s="1"/>
  <c r="B740" i="4"/>
  <c r="A740" i="4"/>
  <c r="F740" i="4" s="1"/>
  <c r="B739" i="4"/>
  <c r="A739" i="4"/>
  <c r="F739" i="4" s="1"/>
  <c r="B738" i="4"/>
  <c r="A738" i="4"/>
  <c r="F738" i="4" s="1"/>
  <c r="B737" i="4"/>
  <c r="A737" i="4"/>
  <c r="F737" i="4" s="1"/>
  <c r="B736" i="4"/>
  <c r="A736" i="4"/>
  <c r="F736" i="4" s="1"/>
  <c r="B735" i="4"/>
  <c r="A735" i="4"/>
  <c r="F735" i="4" s="1"/>
  <c r="B734" i="4"/>
  <c r="A734" i="4"/>
  <c r="F734" i="4" s="1"/>
  <c r="B733" i="4"/>
  <c r="A733" i="4"/>
  <c r="F733" i="4" s="1"/>
  <c r="B732" i="4"/>
  <c r="A732" i="4"/>
  <c r="F732" i="4" s="1"/>
  <c r="B731" i="4"/>
  <c r="A731" i="4"/>
  <c r="F731" i="4" s="1"/>
  <c r="B730" i="4"/>
  <c r="A730" i="4"/>
  <c r="F730" i="4" s="1"/>
  <c r="B729" i="4"/>
  <c r="A729" i="4"/>
  <c r="F729" i="4" s="1"/>
  <c r="B728" i="4"/>
  <c r="A728" i="4"/>
  <c r="F728" i="4" s="1"/>
  <c r="B727" i="4"/>
  <c r="A727" i="4"/>
  <c r="F727" i="4" s="1"/>
  <c r="B726" i="4"/>
  <c r="A726" i="4"/>
  <c r="F726" i="4" s="1"/>
  <c r="B725" i="4"/>
  <c r="A725" i="4"/>
  <c r="F725" i="4" s="1"/>
  <c r="B724" i="4"/>
  <c r="A724" i="4"/>
  <c r="F724" i="4" s="1"/>
  <c r="B723" i="4"/>
  <c r="A723" i="4"/>
  <c r="F723" i="4" s="1"/>
  <c r="B722" i="4"/>
  <c r="A722" i="4"/>
  <c r="F722" i="4" s="1"/>
  <c r="B721" i="4"/>
  <c r="A721" i="4"/>
  <c r="F721" i="4" s="1"/>
  <c r="B720" i="4"/>
  <c r="A720" i="4"/>
  <c r="F720" i="4" s="1"/>
  <c r="B719" i="4"/>
  <c r="A719" i="4"/>
  <c r="F719" i="4" s="1"/>
  <c r="B718" i="4"/>
  <c r="A718" i="4"/>
  <c r="F718" i="4" s="1"/>
  <c r="B717" i="4"/>
  <c r="A717" i="4"/>
  <c r="F717" i="4" s="1"/>
  <c r="B716" i="4"/>
  <c r="A716" i="4"/>
  <c r="F716" i="4" s="1"/>
  <c r="B715" i="4"/>
  <c r="A715" i="4"/>
  <c r="F715" i="4" s="1"/>
  <c r="B714" i="4"/>
  <c r="A714" i="4"/>
  <c r="F714" i="4" s="1"/>
  <c r="B713" i="4"/>
  <c r="A713" i="4"/>
  <c r="F713" i="4" s="1"/>
  <c r="B712" i="4"/>
  <c r="A712" i="4"/>
  <c r="F712" i="4" s="1"/>
  <c r="B711" i="4"/>
  <c r="A711" i="4"/>
  <c r="F711" i="4" s="1"/>
  <c r="B710" i="4"/>
  <c r="A710" i="4"/>
  <c r="F710" i="4" s="1"/>
  <c r="B709" i="4"/>
  <c r="A709" i="4"/>
  <c r="F709" i="4" s="1"/>
  <c r="B708" i="4"/>
  <c r="A708" i="4"/>
  <c r="F708" i="4" s="1"/>
  <c r="B707" i="4"/>
  <c r="A707" i="4"/>
  <c r="F707" i="4" s="1"/>
  <c r="B706" i="4"/>
  <c r="A706" i="4"/>
  <c r="F706" i="4" s="1"/>
  <c r="B705" i="4"/>
  <c r="A705" i="4"/>
  <c r="F705" i="4" s="1"/>
  <c r="B704" i="4"/>
  <c r="A704" i="4"/>
  <c r="F704" i="4" s="1"/>
  <c r="B703" i="4"/>
  <c r="A703" i="4"/>
  <c r="F703" i="4" s="1"/>
  <c r="B702" i="4"/>
  <c r="A702" i="4"/>
  <c r="F702" i="4" s="1"/>
  <c r="B701" i="4"/>
  <c r="A701" i="4"/>
  <c r="F701" i="4" s="1"/>
  <c r="B700" i="4"/>
  <c r="A700" i="4"/>
  <c r="F700" i="4" s="1"/>
  <c r="B699" i="4"/>
  <c r="A699" i="4"/>
  <c r="F699" i="4" s="1"/>
  <c r="B698" i="4"/>
  <c r="A698" i="4"/>
  <c r="F698" i="4" s="1"/>
  <c r="B697" i="4"/>
  <c r="A697" i="4"/>
  <c r="F697" i="4" s="1"/>
  <c r="B696" i="4"/>
  <c r="A696" i="4"/>
  <c r="F696" i="4" s="1"/>
  <c r="B695" i="4"/>
  <c r="A695" i="4"/>
  <c r="F695" i="4" s="1"/>
  <c r="B694" i="4"/>
  <c r="A694" i="4"/>
  <c r="F694" i="4" s="1"/>
  <c r="B693" i="4"/>
  <c r="A693" i="4"/>
  <c r="F693" i="4" s="1"/>
  <c r="B692" i="4"/>
  <c r="A692" i="4"/>
  <c r="F692" i="4" s="1"/>
  <c r="B691" i="4"/>
  <c r="A691" i="4"/>
  <c r="F691" i="4" s="1"/>
  <c r="B690" i="4"/>
  <c r="A690" i="4"/>
  <c r="F690" i="4" s="1"/>
  <c r="B689" i="4"/>
  <c r="A689" i="4"/>
  <c r="F689" i="4" s="1"/>
  <c r="B688" i="4"/>
  <c r="A688" i="4"/>
  <c r="F688" i="4" s="1"/>
  <c r="B687" i="4"/>
  <c r="A687" i="4"/>
  <c r="F687" i="4" s="1"/>
  <c r="B686" i="4"/>
  <c r="A686" i="4"/>
  <c r="F686" i="4" s="1"/>
  <c r="B685" i="4"/>
  <c r="A685" i="4"/>
  <c r="F685" i="4" s="1"/>
  <c r="B684" i="4"/>
  <c r="A684" i="4"/>
  <c r="F684" i="4" s="1"/>
  <c r="B683" i="4"/>
  <c r="A683" i="4"/>
  <c r="F683" i="4" s="1"/>
  <c r="B682" i="4"/>
  <c r="A682" i="4"/>
  <c r="F682" i="4" s="1"/>
  <c r="B681" i="4"/>
  <c r="A681" i="4"/>
  <c r="F681" i="4" s="1"/>
  <c r="B680" i="4"/>
  <c r="A680" i="4"/>
  <c r="F680" i="4" s="1"/>
  <c r="B679" i="4"/>
  <c r="A679" i="4"/>
  <c r="F679" i="4" s="1"/>
  <c r="B678" i="4"/>
  <c r="A678" i="4"/>
  <c r="F678" i="4" s="1"/>
  <c r="B677" i="4"/>
  <c r="A677" i="4"/>
  <c r="F677" i="4" s="1"/>
  <c r="B676" i="4"/>
  <c r="A676" i="4"/>
  <c r="F676" i="4" s="1"/>
  <c r="B675" i="4"/>
  <c r="A675" i="4"/>
  <c r="F675" i="4" s="1"/>
  <c r="B674" i="4"/>
  <c r="A674" i="4"/>
  <c r="F674" i="4" s="1"/>
  <c r="B673" i="4"/>
  <c r="A673" i="4"/>
  <c r="F673" i="4" s="1"/>
  <c r="B672" i="4"/>
  <c r="A672" i="4"/>
  <c r="F672" i="4" s="1"/>
  <c r="B671" i="4"/>
  <c r="A671" i="4"/>
  <c r="F671" i="4" s="1"/>
  <c r="B670" i="4"/>
  <c r="A670" i="4"/>
  <c r="F670" i="4" s="1"/>
  <c r="B669" i="4"/>
  <c r="A669" i="4"/>
  <c r="F669" i="4" s="1"/>
  <c r="B668" i="4"/>
  <c r="A668" i="4"/>
  <c r="F668" i="4" s="1"/>
  <c r="B667" i="4"/>
  <c r="A667" i="4"/>
  <c r="F667" i="4" s="1"/>
  <c r="B666" i="4"/>
  <c r="A666" i="4"/>
  <c r="F666" i="4" s="1"/>
  <c r="B665" i="4"/>
  <c r="A665" i="4"/>
  <c r="F665" i="4" s="1"/>
  <c r="B664" i="4"/>
  <c r="A664" i="4"/>
  <c r="F664" i="4" s="1"/>
  <c r="B663" i="4"/>
  <c r="A663" i="4"/>
  <c r="F663" i="4" s="1"/>
  <c r="B662" i="4"/>
  <c r="A662" i="4"/>
  <c r="F662" i="4" s="1"/>
  <c r="B661" i="4"/>
  <c r="A661" i="4"/>
  <c r="F661" i="4" s="1"/>
  <c r="B660" i="4"/>
  <c r="A660" i="4"/>
  <c r="F660" i="4" s="1"/>
  <c r="B659" i="4"/>
  <c r="A659" i="4"/>
  <c r="F659" i="4" s="1"/>
  <c r="B658" i="4"/>
  <c r="A658" i="4"/>
  <c r="F658" i="4" s="1"/>
  <c r="B657" i="4"/>
  <c r="A657" i="4"/>
  <c r="F657" i="4" s="1"/>
  <c r="B656" i="4"/>
  <c r="A656" i="4"/>
  <c r="F656" i="4" s="1"/>
  <c r="B655" i="4"/>
  <c r="A655" i="4"/>
  <c r="F655" i="4" s="1"/>
  <c r="B654" i="4"/>
  <c r="A654" i="4"/>
  <c r="F654" i="4" s="1"/>
  <c r="B653" i="4"/>
  <c r="A653" i="4"/>
  <c r="F653" i="4" s="1"/>
  <c r="B652" i="4"/>
  <c r="A652" i="4"/>
  <c r="F652" i="4" s="1"/>
  <c r="B651" i="4"/>
  <c r="A651" i="4"/>
  <c r="F651" i="4" s="1"/>
  <c r="B650" i="4"/>
  <c r="A650" i="4"/>
  <c r="F650" i="4" s="1"/>
  <c r="B649" i="4"/>
  <c r="A649" i="4"/>
  <c r="F649" i="4" s="1"/>
  <c r="B648" i="4"/>
  <c r="A648" i="4"/>
  <c r="F648" i="4" s="1"/>
  <c r="B647" i="4"/>
  <c r="A647" i="4"/>
  <c r="F647" i="4" s="1"/>
  <c r="B646" i="4"/>
  <c r="A646" i="4"/>
  <c r="F646" i="4" s="1"/>
  <c r="B645" i="4"/>
  <c r="A645" i="4"/>
  <c r="F645" i="4" s="1"/>
  <c r="B644" i="4"/>
  <c r="A644" i="4"/>
  <c r="F644" i="4" s="1"/>
  <c r="B643" i="4"/>
  <c r="A643" i="4"/>
  <c r="F643" i="4" s="1"/>
  <c r="B642" i="4"/>
  <c r="A642" i="4"/>
  <c r="F642" i="4" s="1"/>
  <c r="B641" i="4"/>
  <c r="A641" i="4"/>
  <c r="F641" i="4" s="1"/>
  <c r="B640" i="4"/>
  <c r="A640" i="4"/>
  <c r="F640" i="4" s="1"/>
  <c r="B639" i="4"/>
  <c r="A639" i="4"/>
  <c r="F639" i="4" s="1"/>
  <c r="B638" i="4"/>
  <c r="A638" i="4"/>
  <c r="F638" i="4" s="1"/>
  <c r="B637" i="4"/>
  <c r="A637" i="4"/>
  <c r="F637" i="4" s="1"/>
  <c r="B636" i="4"/>
  <c r="A636" i="4"/>
  <c r="F636" i="4" s="1"/>
  <c r="B635" i="4"/>
  <c r="A635" i="4"/>
  <c r="F635" i="4" s="1"/>
  <c r="B634" i="4"/>
  <c r="A634" i="4"/>
  <c r="F634" i="4" s="1"/>
  <c r="B633" i="4"/>
  <c r="A633" i="4"/>
  <c r="F633" i="4" s="1"/>
  <c r="B632" i="4"/>
  <c r="A632" i="4"/>
  <c r="F632" i="4" s="1"/>
  <c r="B631" i="4"/>
  <c r="A631" i="4"/>
  <c r="F631" i="4" s="1"/>
  <c r="B630" i="4"/>
  <c r="A630" i="4"/>
  <c r="F630" i="4" s="1"/>
  <c r="B629" i="4"/>
  <c r="A629" i="4"/>
  <c r="F629" i="4" s="1"/>
  <c r="B628" i="4"/>
  <c r="A628" i="4"/>
  <c r="F628" i="4" s="1"/>
  <c r="B627" i="4"/>
  <c r="A627" i="4"/>
  <c r="F627" i="4" s="1"/>
  <c r="B626" i="4"/>
  <c r="A626" i="4"/>
  <c r="F626" i="4" s="1"/>
  <c r="B625" i="4"/>
  <c r="A625" i="4"/>
  <c r="F625" i="4" s="1"/>
  <c r="B624" i="4"/>
  <c r="A624" i="4"/>
  <c r="F624" i="4" s="1"/>
  <c r="B623" i="4"/>
  <c r="A623" i="4"/>
  <c r="F623" i="4" s="1"/>
  <c r="B622" i="4"/>
  <c r="A622" i="4"/>
  <c r="F622" i="4" s="1"/>
  <c r="B621" i="4"/>
  <c r="A621" i="4"/>
  <c r="F621" i="4" s="1"/>
  <c r="B620" i="4"/>
  <c r="A620" i="4"/>
  <c r="F620" i="4" s="1"/>
  <c r="B619" i="4"/>
  <c r="A619" i="4"/>
  <c r="F619" i="4" s="1"/>
  <c r="B618" i="4"/>
  <c r="A618" i="4"/>
  <c r="F618" i="4" s="1"/>
  <c r="B617" i="4"/>
  <c r="A617" i="4"/>
  <c r="F617" i="4" s="1"/>
  <c r="B616" i="4"/>
  <c r="A616" i="4"/>
  <c r="F616" i="4" s="1"/>
  <c r="B615" i="4"/>
  <c r="A615" i="4"/>
  <c r="F615" i="4" s="1"/>
  <c r="B614" i="4"/>
  <c r="A614" i="4"/>
  <c r="F614" i="4" s="1"/>
  <c r="B613" i="4"/>
  <c r="A613" i="4"/>
  <c r="F613" i="4" s="1"/>
  <c r="B612" i="4"/>
  <c r="A612" i="4"/>
  <c r="F612" i="4" s="1"/>
  <c r="B611" i="4"/>
  <c r="A611" i="4"/>
  <c r="F611" i="4" s="1"/>
  <c r="B610" i="4"/>
  <c r="A610" i="4"/>
  <c r="F610" i="4" s="1"/>
  <c r="B609" i="4"/>
  <c r="A609" i="4"/>
  <c r="F609" i="4" s="1"/>
  <c r="B608" i="4"/>
  <c r="A608" i="4"/>
  <c r="F608" i="4" s="1"/>
  <c r="B607" i="4"/>
  <c r="A607" i="4"/>
  <c r="F607" i="4" s="1"/>
  <c r="B606" i="4"/>
  <c r="A606" i="4"/>
  <c r="F606" i="4" s="1"/>
  <c r="B605" i="4"/>
  <c r="A605" i="4"/>
  <c r="F605" i="4" s="1"/>
  <c r="B604" i="4"/>
  <c r="A604" i="4"/>
  <c r="F604" i="4" s="1"/>
  <c r="B603" i="4"/>
  <c r="A603" i="4"/>
  <c r="F603" i="4" s="1"/>
  <c r="B602" i="4"/>
  <c r="A602" i="4"/>
  <c r="F602" i="4" s="1"/>
  <c r="B601" i="4"/>
  <c r="A601" i="4"/>
  <c r="F601" i="4" s="1"/>
  <c r="B600" i="4"/>
  <c r="A600" i="4"/>
  <c r="F600" i="4" s="1"/>
  <c r="B599" i="4"/>
  <c r="A599" i="4"/>
  <c r="F599" i="4" s="1"/>
  <c r="B598" i="4"/>
  <c r="A598" i="4"/>
  <c r="F598" i="4" s="1"/>
  <c r="B597" i="4"/>
  <c r="A597" i="4"/>
  <c r="F597" i="4" s="1"/>
  <c r="B596" i="4"/>
  <c r="A596" i="4"/>
  <c r="F596" i="4" s="1"/>
  <c r="B595" i="4"/>
  <c r="A595" i="4"/>
  <c r="F595" i="4" s="1"/>
  <c r="B594" i="4"/>
  <c r="A594" i="4"/>
  <c r="F594" i="4" s="1"/>
  <c r="B593" i="4"/>
  <c r="A593" i="4"/>
  <c r="F593" i="4" s="1"/>
  <c r="B592" i="4"/>
  <c r="A592" i="4"/>
  <c r="F592" i="4" s="1"/>
  <c r="B591" i="4"/>
  <c r="A591" i="4"/>
  <c r="F591" i="4" s="1"/>
  <c r="B590" i="4"/>
  <c r="A590" i="4"/>
  <c r="F590" i="4" s="1"/>
  <c r="B589" i="4"/>
  <c r="A589" i="4"/>
  <c r="F589" i="4" s="1"/>
  <c r="B588" i="4"/>
  <c r="A588" i="4"/>
  <c r="F588" i="4" s="1"/>
  <c r="B587" i="4"/>
  <c r="A587" i="4"/>
  <c r="F587" i="4" s="1"/>
  <c r="B586" i="4"/>
  <c r="A586" i="4"/>
  <c r="F586" i="4" s="1"/>
  <c r="B585" i="4"/>
  <c r="A585" i="4"/>
  <c r="F585" i="4" s="1"/>
  <c r="B584" i="4"/>
  <c r="A584" i="4"/>
  <c r="F584" i="4" s="1"/>
  <c r="B583" i="4"/>
  <c r="A583" i="4"/>
  <c r="F583" i="4" s="1"/>
  <c r="B582" i="4"/>
  <c r="A582" i="4"/>
  <c r="F582" i="4" s="1"/>
  <c r="B581" i="4"/>
  <c r="A581" i="4"/>
  <c r="F581" i="4" s="1"/>
  <c r="B580" i="4"/>
  <c r="A580" i="4"/>
  <c r="F580" i="4" s="1"/>
  <c r="B579" i="4"/>
  <c r="A579" i="4"/>
  <c r="F579" i="4" s="1"/>
  <c r="B578" i="4"/>
  <c r="A578" i="4"/>
  <c r="F578" i="4" s="1"/>
  <c r="B577" i="4"/>
  <c r="A577" i="4"/>
  <c r="F577" i="4" s="1"/>
  <c r="B576" i="4"/>
  <c r="A576" i="4"/>
  <c r="F576" i="4" s="1"/>
  <c r="B575" i="4"/>
  <c r="A575" i="4"/>
  <c r="F575" i="4" s="1"/>
  <c r="B574" i="4"/>
  <c r="A574" i="4"/>
  <c r="F574" i="4" s="1"/>
  <c r="B573" i="4"/>
  <c r="A573" i="4"/>
  <c r="F573" i="4" s="1"/>
  <c r="B572" i="4"/>
  <c r="A572" i="4"/>
  <c r="F572" i="4" s="1"/>
  <c r="B571" i="4"/>
  <c r="A571" i="4"/>
  <c r="F571" i="4" s="1"/>
  <c r="B570" i="4"/>
  <c r="A570" i="4"/>
  <c r="F570" i="4" s="1"/>
  <c r="B569" i="4"/>
  <c r="A569" i="4"/>
  <c r="F569" i="4" s="1"/>
  <c r="B568" i="4"/>
  <c r="A568" i="4"/>
  <c r="F568" i="4" s="1"/>
  <c r="B567" i="4"/>
  <c r="A567" i="4"/>
  <c r="F567" i="4" s="1"/>
  <c r="B566" i="4"/>
  <c r="A566" i="4"/>
  <c r="F566" i="4" s="1"/>
  <c r="B565" i="4"/>
  <c r="A565" i="4"/>
  <c r="F565" i="4" s="1"/>
  <c r="B564" i="4"/>
  <c r="A564" i="4"/>
  <c r="F564" i="4" s="1"/>
  <c r="B563" i="4"/>
  <c r="A563" i="4"/>
  <c r="F563" i="4" s="1"/>
  <c r="B562" i="4"/>
  <c r="A562" i="4"/>
  <c r="F562" i="4" s="1"/>
  <c r="B561" i="4"/>
  <c r="A561" i="4"/>
  <c r="F561" i="4" s="1"/>
  <c r="B560" i="4"/>
  <c r="A560" i="4"/>
  <c r="F560" i="4" s="1"/>
  <c r="B559" i="4"/>
  <c r="A559" i="4"/>
  <c r="F559" i="4" s="1"/>
  <c r="B558" i="4"/>
  <c r="A558" i="4"/>
  <c r="F558" i="4" s="1"/>
  <c r="B557" i="4"/>
  <c r="A557" i="4"/>
  <c r="F557" i="4" s="1"/>
  <c r="B556" i="4"/>
  <c r="A556" i="4"/>
  <c r="F556" i="4" s="1"/>
  <c r="B555" i="4"/>
  <c r="A555" i="4"/>
  <c r="F555" i="4" s="1"/>
  <c r="B554" i="4"/>
  <c r="A554" i="4"/>
  <c r="F554" i="4" s="1"/>
  <c r="B553" i="4"/>
  <c r="A553" i="4"/>
  <c r="F553" i="4" s="1"/>
  <c r="B552" i="4"/>
  <c r="A552" i="4"/>
  <c r="F552" i="4" s="1"/>
  <c r="B551" i="4"/>
  <c r="A551" i="4"/>
  <c r="F551" i="4" s="1"/>
  <c r="B550" i="4"/>
  <c r="A550" i="4"/>
  <c r="F550" i="4" s="1"/>
  <c r="B549" i="4"/>
  <c r="A549" i="4"/>
  <c r="F549" i="4" s="1"/>
  <c r="B548" i="4"/>
  <c r="A548" i="4"/>
  <c r="F548" i="4" s="1"/>
  <c r="B547" i="4"/>
  <c r="A547" i="4"/>
  <c r="F547" i="4" s="1"/>
  <c r="B546" i="4"/>
  <c r="A546" i="4"/>
  <c r="F546" i="4" s="1"/>
  <c r="B545" i="4"/>
  <c r="A545" i="4"/>
  <c r="F545" i="4" s="1"/>
  <c r="B544" i="4"/>
  <c r="A544" i="4"/>
  <c r="F544" i="4" s="1"/>
  <c r="B543" i="4"/>
  <c r="A543" i="4"/>
  <c r="F543" i="4" s="1"/>
  <c r="B542" i="4"/>
  <c r="A542" i="4"/>
  <c r="F542" i="4" s="1"/>
  <c r="B541" i="4"/>
  <c r="A541" i="4"/>
  <c r="F541" i="4" s="1"/>
  <c r="B540" i="4"/>
  <c r="A540" i="4"/>
  <c r="F540" i="4" s="1"/>
  <c r="B539" i="4"/>
  <c r="A539" i="4"/>
  <c r="F539" i="4" s="1"/>
  <c r="B538" i="4"/>
  <c r="A538" i="4"/>
  <c r="F538" i="4" s="1"/>
  <c r="B537" i="4"/>
  <c r="A537" i="4"/>
  <c r="F537" i="4" s="1"/>
  <c r="B536" i="4"/>
  <c r="A536" i="4"/>
  <c r="F536" i="4" s="1"/>
  <c r="B535" i="4"/>
  <c r="A535" i="4"/>
  <c r="F535" i="4" s="1"/>
  <c r="B534" i="4"/>
  <c r="A534" i="4"/>
  <c r="F534" i="4" s="1"/>
  <c r="B533" i="4"/>
  <c r="A533" i="4"/>
  <c r="F533" i="4" s="1"/>
  <c r="B532" i="4"/>
  <c r="A532" i="4"/>
  <c r="F532" i="4" s="1"/>
  <c r="B531" i="4"/>
  <c r="A531" i="4"/>
  <c r="F531" i="4" s="1"/>
  <c r="B530" i="4"/>
  <c r="A530" i="4"/>
  <c r="F530" i="4" s="1"/>
  <c r="B529" i="4"/>
  <c r="A529" i="4"/>
  <c r="F529" i="4" s="1"/>
  <c r="B528" i="4"/>
  <c r="A528" i="4"/>
  <c r="F528" i="4" s="1"/>
  <c r="B527" i="4"/>
  <c r="A527" i="4"/>
  <c r="F527" i="4" s="1"/>
  <c r="B526" i="4"/>
  <c r="A526" i="4"/>
  <c r="F526" i="4" s="1"/>
  <c r="B525" i="4"/>
  <c r="A525" i="4"/>
  <c r="F525" i="4" s="1"/>
  <c r="B524" i="4"/>
  <c r="A524" i="4"/>
  <c r="F524" i="4" s="1"/>
  <c r="B523" i="4"/>
  <c r="A523" i="4"/>
  <c r="F523" i="4" s="1"/>
  <c r="B522" i="4"/>
  <c r="A522" i="4"/>
  <c r="F522" i="4" s="1"/>
  <c r="B521" i="4"/>
  <c r="A521" i="4"/>
  <c r="F521" i="4" s="1"/>
  <c r="B520" i="4"/>
  <c r="A520" i="4"/>
  <c r="F520" i="4" s="1"/>
  <c r="B519" i="4"/>
  <c r="A519" i="4"/>
  <c r="F519" i="4" s="1"/>
  <c r="B518" i="4"/>
  <c r="A518" i="4"/>
  <c r="F518" i="4" s="1"/>
  <c r="B517" i="4"/>
  <c r="A517" i="4"/>
  <c r="F517" i="4" s="1"/>
  <c r="B516" i="4"/>
  <c r="A516" i="4"/>
  <c r="F516" i="4" s="1"/>
  <c r="B515" i="4"/>
  <c r="A515" i="4"/>
  <c r="F515" i="4" s="1"/>
  <c r="B514" i="4"/>
  <c r="A514" i="4"/>
  <c r="F514" i="4" s="1"/>
  <c r="B513" i="4"/>
  <c r="A513" i="4"/>
  <c r="F513" i="4" s="1"/>
  <c r="B512" i="4"/>
  <c r="A512" i="4"/>
  <c r="F512" i="4" s="1"/>
  <c r="B511" i="4"/>
  <c r="A511" i="4"/>
  <c r="F511" i="4" s="1"/>
  <c r="B510" i="4"/>
  <c r="A510" i="4"/>
  <c r="F510" i="4" s="1"/>
  <c r="B509" i="4"/>
  <c r="A509" i="4"/>
  <c r="F509" i="4" s="1"/>
  <c r="B508" i="4"/>
  <c r="A508" i="4"/>
  <c r="F508" i="4" s="1"/>
  <c r="B507" i="4"/>
  <c r="A507" i="4"/>
  <c r="F507" i="4" s="1"/>
  <c r="B506" i="4"/>
  <c r="A506" i="4"/>
  <c r="F506" i="4" s="1"/>
  <c r="B505" i="4"/>
  <c r="A505" i="4"/>
  <c r="F505" i="4" s="1"/>
  <c r="B504" i="4"/>
  <c r="A504" i="4"/>
  <c r="F504" i="4" s="1"/>
  <c r="B503" i="4"/>
  <c r="A503" i="4"/>
  <c r="F503" i="4" s="1"/>
  <c r="B502" i="4"/>
  <c r="A502" i="4"/>
  <c r="F502" i="4" s="1"/>
  <c r="B501" i="4"/>
  <c r="A501" i="4"/>
  <c r="F501" i="4" s="1"/>
  <c r="B500" i="4"/>
  <c r="A500" i="4"/>
  <c r="F500" i="4" s="1"/>
  <c r="B499" i="4"/>
  <c r="A499" i="4"/>
  <c r="F499" i="4" s="1"/>
  <c r="B498" i="4"/>
  <c r="A498" i="4"/>
  <c r="F498" i="4" s="1"/>
  <c r="B497" i="4"/>
  <c r="A497" i="4"/>
  <c r="F497" i="4" s="1"/>
  <c r="B496" i="4"/>
  <c r="A496" i="4"/>
  <c r="F496" i="4" s="1"/>
  <c r="B495" i="4"/>
  <c r="A495" i="4"/>
  <c r="F495" i="4" s="1"/>
  <c r="B494" i="4"/>
  <c r="A494" i="4"/>
  <c r="F494" i="4" s="1"/>
  <c r="B493" i="4"/>
  <c r="A493" i="4"/>
  <c r="F493" i="4" s="1"/>
  <c r="B492" i="4"/>
  <c r="A492" i="4"/>
  <c r="F492" i="4" s="1"/>
  <c r="B491" i="4"/>
  <c r="A491" i="4"/>
  <c r="F491" i="4" s="1"/>
  <c r="B490" i="4"/>
  <c r="A490" i="4"/>
  <c r="F490" i="4" s="1"/>
  <c r="B489" i="4"/>
  <c r="A489" i="4"/>
  <c r="F489" i="4" s="1"/>
  <c r="B488" i="4"/>
  <c r="A488" i="4"/>
  <c r="F488" i="4" s="1"/>
  <c r="B487" i="4"/>
  <c r="A487" i="4"/>
  <c r="F487" i="4" s="1"/>
  <c r="B486" i="4"/>
  <c r="A486" i="4"/>
  <c r="F486" i="4" s="1"/>
  <c r="B485" i="4"/>
  <c r="A485" i="4"/>
  <c r="F485" i="4" s="1"/>
  <c r="B484" i="4"/>
  <c r="A484" i="4"/>
  <c r="F484" i="4" s="1"/>
  <c r="B483" i="4"/>
  <c r="A483" i="4"/>
  <c r="F483" i="4" s="1"/>
  <c r="B482" i="4"/>
  <c r="A482" i="4"/>
  <c r="F482" i="4" s="1"/>
  <c r="B481" i="4"/>
  <c r="A481" i="4"/>
  <c r="F481" i="4" s="1"/>
  <c r="B480" i="4"/>
  <c r="A480" i="4"/>
  <c r="F480" i="4" s="1"/>
  <c r="B479" i="4"/>
  <c r="A479" i="4"/>
  <c r="F479" i="4" s="1"/>
  <c r="B478" i="4"/>
  <c r="A478" i="4"/>
  <c r="F478" i="4" s="1"/>
  <c r="B477" i="4"/>
  <c r="A477" i="4"/>
  <c r="F477" i="4" s="1"/>
  <c r="B476" i="4"/>
  <c r="A476" i="4"/>
  <c r="F476" i="4" s="1"/>
  <c r="B475" i="4"/>
  <c r="A475" i="4"/>
  <c r="F475" i="4" s="1"/>
  <c r="B474" i="4"/>
  <c r="A474" i="4"/>
  <c r="F474" i="4" s="1"/>
  <c r="B473" i="4"/>
  <c r="A473" i="4"/>
  <c r="F473" i="4" s="1"/>
  <c r="B472" i="4"/>
  <c r="A472" i="4"/>
  <c r="F472" i="4" s="1"/>
  <c r="B471" i="4"/>
  <c r="A471" i="4"/>
  <c r="F471" i="4" s="1"/>
  <c r="B470" i="4"/>
  <c r="A470" i="4"/>
  <c r="F470" i="4" s="1"/>
  <c r="B469" i="4"/>
  <c r="A469" i="4"/>
  <c r="F469" i="4" s="1"/>
  <c r="B468" i="4"/>
  <c r="A468" i="4"/>
  <c r="F468" i="4" s="1"/>
  <c r="B467" i="4"/>
  <c r="A467" i="4"/>
  <c r="F467" i="4" s="1"/>
  <c r="B466" i="4"/>
  <c r="A466" i="4"/>
  <c r="F466" i="4" s="1"/>
  <c r="B465" i="4"/>
  <c r="A465" i="4"/>
  <c r="F465" i="4" s="1"/>
  <c r="B464" i="4"/>
  <c r="A464" i="4"/>
  <c r="F464" i="4" s="1"/>
  <c r="B463" i="4"/>
  <c r="A463" i="4"/>
  <c r="F463" i="4" s="1"/>
  <c r="B462" i="4"/>
  <c r="A462" i="4"/>
  <c r="F462" i="4" s="1"/>
  <c r="B461" i="4"/>
  <c r="A461" i="4"/>
  <c r="F461" i="4" s="1"/>
  <c r="B460" i="4"/>
  <c r="A460" i="4"/>
  <c r="F460" i="4" s="1"/>
  <c r="B459" i="4"/>
  <c r="A459" i="4"/>
  <c r="F459" i="4" s="1"/>
  <c r="B458" i="4"/>
  <c r="A458" i="4"/>
  <c r="F458" i="4" s="1"/>
  <c r="B457" i="4"/>
  <c r="A457" i="4"/>
  <c r="F457" i="4" s="1"/>
  <c r="B456" i="4"/>
  <c r="A456" i="4"/>
  <c r="F456" i="4" s="1"/>
  <c r="B455" i="4"/>
  <c r="A455" i="4"/>
  <c r="F455" i="4" s="1"/>
  <c r="B454" i="4"/>
  <c r="A454" i="4"/>
  <c r="F454" i="4" s="1"/>
  <c r="B453" i="4"/>
  <c r="A453" i="4"/>
  <c r="F453" i="4" s="1"/>
  <c r="B452" i="4"/>
  <c r="A452" i="4"/>
  <c r="F452" i="4" s="1"/>
  <c r="B451" i="4"/>
  <c r="A451" i="4"/>
  <c r="F451" i="4" s="1"/>
  <c r="B450" i="4"/>
  <c r="A450" i="4"/>
  <c r="F450" i="4" s="1"/>
  <c r="B449" i="4"/>
  <c r="A449" i="4"/>
  <c r="F449" i="4" s="1"/>
  <c r="B448" i="4"/>
  <c r="A448" i="4"/>
  <c r="F448" i="4" s="1"/>
  <c r="B447" i="4"/>
  <c r="A447" i="4"/>
  <c r="F447" i="4" s="1"/>
  <c r="B446" i="4"/>
  <c r="A446" i="4"/>
  <c r="F446" i="4" s="1"/>
  <c r="B445" i="4"/>
  <c r="A445" i="4"/>
  <c r="F445" i="4" s="1"/>
  <c r="B444" i="4"/>
  <c r="A444" i="4"/>
  <c r="F444" i="4" s="1"/>
  <c r="B443" i="4"/>
  <c r="A443" i="4"/>
  <c r="F443" i="4" s="1"/>
  <c r="B442" i="4"/>
  <c r="A442" i="4"/>
  <c r="F442" i="4" s="1"/>
  <c r="B441" i="4"/>
  <c r="A441" i="4"/>
  <c r="F441" i="4" s="1"/>
  <c r="B440" i="4"/>
  <c r="A440" i="4"/>
  <c r="F440" i="4" s="1"/>
  <c r="B439" i="4"/>
  <c r="A439" i="4"/>
  <c r="F439" i="4" s="1"/>
  <c r="B438" i="4"/>
  <c r="A438" i="4"/>
  <c r="F438" i="4" s="1"/>
  <c r="B437" i="4"/>
  <c r="A437" i="4"/>
  <c r="F437" i="4" s="1"/>
  <c r="B436" i="4"/>
  <c r="A436" i="4"/>
  <c r="F436" i="4" s="1"/>
  <c r="B435" i="4"/>
  <c r="A435" i="4"/>
  <c r="F435" i="4" s="1"/>
  <c r="B434" i="4"/>
  <c r="A434" i="4"/>
  <c r="F434" i="4" s="1"/>
  <c r="B433" i="4"/>
  <c r="A433" i="4"/>
  <c r="F433" i="4" s="1"/>
  <c r="B432" i="4"/>
  <c r="A432" i="4"/>
  <c r="F432" i="4" s="1"/>
  <c r="B431" i="4"/>
  <c r="A431" i="4"/>
  <c r="F431" i="4" s="1"/>
  <c r="B430" i="4"/>
  <c r="A430" i="4"/>
  <c r="F430" i="4" s="1"/>
  <c r="B429" i="4"/>
  <c r="A429" i="4"/>
  <c r="F429" i="4" s="1"/>
  <c r="B428" i="4"/>
  <c r="A428" i="4"/>
  <c r="F428" i="4" s="1"/>
  <c r="B427" i="4"/>
  <c r="A427" i="4"/>
  <c r="F427" i="4" s="1"/>
  <c r="B426" i="4"/>
  <c r="A426" i="4"/>
  <c r="F426" i="4" s="1"/>
  <c r="B425" i="4"/>
  <c r="A425" i="4"/>
  <c r="F425" i="4" s="1"/>
  <c r="B424" i="4"/>
  <c r="A424" i="4"/>
  <c r="F424" i="4" s="1"/>
  <c r="B423" i="4"/>
  <c r="A423" i="4"/>
  <c r="F423" i="4" s="1"/>
  <c r="B422" i="4"/>
  <c r="A422" i="4"/>
  <c r="F422" i="4" s="1"/>
  <c r="B421" i="4"/>
  <c r="A421" i="4"/>
  <c r="F421" i="4" s="1"/>
  <c r="B420" i="4"/>
  <c r="A420" i="4"/>
  <c r="F420" i="4" s="1"/>
  <c r="B419" i="4"/>
  <c r="A419" i="4"/>
  <c r="F419" i="4" s="1"/>
  <c r="B418" i="4"/>
  <c r="A418" i="4"/>
  <c r="F418" i="4" s="1"/>
  <c r="B417" i="4"/>
  <c r="A417" i="4"/>
  <c r="F417" i="4" s="1"/>
  <c r="B416" i="4"/>
  <c r="A416" i="4"/>
  <c r="F416" i="4" s="1"/>
  <c r="B415" i="4"/>
  <c r="A415" i="4"/>
  <c r="F415" i="4" s="1"/>
  <c r="B414" i="4"/>
  <c r="A414" i="4"/>
  <c r="F414" i="4" s="1"/>
  <c r="B413" i="4"/>
  <c r="A413" i="4"/>
  <c r="F413" i="4" s="1"/>
  <c r="B412" i="4"/>
  <c r="A412" i="4"/>
  <c r="F412" i="4" s="1"/>
  <c r="B411" i="4"/>
  <c r="A411" i="4"/>
  <c r="F411" i="4" s="1"/>
  <c r="B410" i="4"/>
  <c r="A410" i="4"/>
  <c r="F410" i="4" s="1"/>
  <c r="B409" i="4"/>
  <c r="A409" i="4"/>
  <c r="F409" i="4" s="1"/>
  <c r="B408" i="4"/>
  <c r="A408" i="4"/>
  <c r="F408" i="4" s="1"/>
  <c r="B407" i="4"/>
  <c r="A407" i="4"/>
  <c r="F407" i="4" s="1"/>
  <c r="B406" i="4"/>
  <c r="A406" i="4"/>
  <c r="F406" i="4" s="1"/>
  <c r="B405" i="4"/>
  <c r="A405" i="4"/>
  <c r="F405" i="4" s="1"/>
  <c r="B404" i="4"/>
  <c r="A404" i="4"/>
  <c r="F404" i="4" s="1"/>
  <c r="B403" i="4"/>
  <c r="A403" i="4"/>
  <c r="F403" i="4" s="1"/>
  <c r="B402" i="4"/>
  <c r="A402" i="4"/>
  <c r="F402" i="4" s="1"/>
  <c r="B401" i="4"/>
  <c r="A401" i="4"/>
  <c r="F401" i="4" s="1"/>
  <c r="B400" i="4"/>
  <c r="A400" i="4"/>
  <c r="F400" i="4" s="1"/>
  <c r="B399" i="4"/>
  <c r="A399" i="4"/>
  <c r="F399" i="4" s="1"/>
  <c r="B398" i="4"/>
  <c r="A398" i="4"/>
  <c r="F398" i="4" s="1"/>
  <c r="B397" i="4"/>
  <c r="A397" i="4"/>
  <c r="F397" i="4" s="1"/>
  <c r="B396" i="4"/>
  <c r="A396" i="4"/>
  <c r="F396" i="4" s="1"/>
  <c r="B395" i="4"/>
  <c r="A395" i="4"/>
  <c r="F395" i="4" s="1"/>
  <c r="B394" i="4"/>
  <c r="A394" i="4"/>
  <c r="F394" i="4" s="1"/>
  <c r="B393" i="4"/>
  <c r="A393" i="4"/>
  <c r="F393" i="4" s="1"/>
  <c r="B392" i="4"/>
  <c r="A392" i="4"/>
  <c r="F392" i="4" s="1"/>
  <c r="B391" i="4"/>
  <c r="A391" i="4"/>
  <c r="F391" i="4" s="1"/>
  <c r="B390" i="4"/>
  <c r="A390" i="4"/>
  <c r="F390" i="4" s="1"/>
  <c r="B389" i="4"/>
  <c r="A389" i="4"/>
  <c r="F389" i="4" s="1"/>
  <c r="B388" i="4"/>
  <c r="A388" i="4"/>
  <c r="F388" i="4" s="1"/>
  <c r="B387" i="4"/>
  <c r="A387" i="4"/>
  <c r="F387" i="4" s="1"/>
  <c r="B386" i="4"/>
  <c r="A386" i="4"/>
  <c r="F386" i="4" s="1"/>
  <c r="B385" i="4"/>
  <c r="A385" i="4"/>
  <c r="F385" i="4" s="1"/>
  <c r="B384" i="4"/>
  <c r="A384" i="4"/>
  <c r="F384" i="4" s="1"/>
  <c r="B383" i="4"/>
  <c r="A383" i="4"/>
  <c r="F383" i="4" s="1"/>
  <c r="B382" i="4"/>
  <c r="A382" i="4"/>
  <c r="F382" i="4" s="1"/>
  <c r="B381" i="4"/>
  <c r="A381" i="4"/>
  <c r="F381" i="4" s="1"/>
  <c r="B380" i="4"/>
  <c r="A380" i="4"/>
  <c r="F380" i="4" s="1"/>
  <c r="B379" i="4"/>
  <c r="A379" i="4"/>
  <c r="F379" i="4" s="1"/>
  <c r="B378" i="4"/>
  <c r="A378" i="4"/>
  <c r="F378" i="4" s="1"/>
  <c r="B377" i="4"/>
  <c r="A377" i="4"/>
  <c r="F377" i="4" s="1"/>
  <c r="B376" i="4"/>
  <c r="A376" i="4"/>
  <c r="F376" i="4" s="1"/>
  <c r="B375" i="4"/>
  <c r="A375" i="4"/>
  <c r="F375" i="4" s="1"/>
  <c r="B374" i="4"/>
  <c r="A374" i="4"/>
  <c r="F374" i="4" s="1"/>
  <c r="B373" i="4"/>
  <c r="A373" i="4"/>
  <c r="F373" i="4" s="1"/>
  <c r="B372" i="4"/>
  <c r="A372" i="4"/>
  <c r="F372" i="4" s="1"/>
  <c r="B371" i="4"/>
  <c r="A371" i="4"/>
  <c r="F371" i="4" s="1"/>
  <c r="B370" i="4"/>
  <c r="A370" i="4"/>
  <c r="F370" i="4" s="1"/>
  <c r="B369" i="4"/>
  <c r="A369" i="4"/>
  <c r="F369" i="4" s="1"/>
  <c r="B368" i="4"/>
  <c r="A368" i="4"/>
  <c r="F368" i="4" s="1"/>
  <c r="B367" i="4"/>
  <c r="A367" i="4"/>
  <c r="F367" i="4" s="1"/>
  <c r="B366" i="4"/>
  <c r="A366" i="4"/>
  <c r="F366" i="4" s="1"/>
  <c r="B365" i="4"/>
  <c r="A365" i="4"/>
  <c r="F365" i="4" s="1"/>
  <c r="B364" i="4"/>
  <c r="A364" i="4"/>
  <c r="F364" i="4" s="1"/>
  <c r="B363" i="4"/>
  <c r="A363" i="4"/>
  <c r="F363" i="4" s="1"/>
  <c r="B362" i="4"/>
  <c r="A362" i="4"/>
  <c r="F362" i="4" s="1"/>
  <c r="B361" i="4"/>
  <c r="A361" i="4"/>
  <c r="F361" i="4" s="1"/>
  <c r="B360" i="4"/>
  <c r="A360" i="4"/>
  <c r="F360" i="4" s="1"/>
  <c r="B359" i="4"/>
  <c r="A359" i="4"/>
  <c r="F359" i="4" s="1"/>
  <c r="B358" i="4"/>
  <c r="A358" i="4"/>
  <c r="F358" i="4" s="1"/>
  <c r="B357" i="4"/>
  <c r="A357" i="4"/>
  <c r="F357" i="4" s="1"/>
  <c r="B356" i="4"/>
  <c r="A356" i="4"/>
  <c r="F356" i="4" s="1"/>
  <c r="B355" i="4"/>
  <c r="A355" i="4"/>
  <c r="F355" i="4" s="1"/>
  <c r="B354" i="4"/>
  <c r="A354" i="4"/>
  <c r="F354" i="4" s="1"/>
  <c r="B353" i="4"/>
  <c r="A353" i="4"/>
  <c r="F353" i="4" s="1"/>
  <c r="B352" i="4"/>
  <c r="A352" i="4"/>
  <c r="F352" i="4" s="1"/>
  <c r="B351" i="4"/>
  <c r="A351" i="4"/>
  <c r="F351" i="4" s="1"/>
  <c r="B350" i="4"/>
  <c r="A350" i="4"/>
  <c r="F350" i="4" s="1"/>
  <c r="B349" i="4"/>
  <c r="A349" i="4"/>
  <c r="F349" i="4" s="1"/>
  <c r="B348" i="4"/>
  <c r="A348" i="4"/>
  <c r="F348" i="4" s="1"/>
  <c r="B347" i="4"/>
  <c r="A347" i="4"/>
  <c r="F347" i="4" s="1"/>
  <c r="B346" i="4"/>
  <c r="A346" i="4"/>
  <c r="F346" i="4" s="1"/>
  <c r="B345" i="4"/>
  <c r="A345" i="4"/>
  <c r="F345" i="4" s="1"/>
  <c r="B344" i="4"/>
  <c r="A344" i="4"/>
  <c r="F344" i="4" s="1"/>
  <c r="B343" i="4"/>
  <c r="A343" i="4"/>
  <c r="F343" i="4" s="1"/>
  <c r="B342" i="4"/>
  <c r="A342" i="4"/>
  <c r="F342" i="4" s="1"/>
  <c r="B341" i="4"/>
  <c r="A341" i="4"/>
  <c r="F341" i="4" s="1"/>
  <c r="B340" i="4"/>
  <c r="A340" i="4"/>
  <c r="F340" i="4" s="1"/>
  <c r="B339" i="4"/>
  <c r="A339" i="4"/>
  <c r="F339" i="4" s="1"/>
  <c r="B338" i="4"/>
  <c r="A338" i="4"/>
  <c r="F338" i="4" s="1"/>
  <c r="B337" i="4"/>
  <c r="A337" i="4"/>
  <c r="F337" i="4" s="1"/>
  <c r="B336" i="4"/>
  <c r="A336" i="4"/>
  <c r="F336" i="4" s="1"/>
  <c r="B335" i="4"/>
  <c r="A335" i="4"/>
  <c r="F335" i="4" s="1"/>
  <c r="B334" i="4"/>
  <c r="A334" i="4"/>
  <c r="F334" i="4" s="1"/>
  <c r="B333" i="4"/>
  <c r="A333" i="4"/>
  <c r="F333" i="4" s="1"/>
  <c r="B332" i="4"/>
  <c r="A332" i="4"/>
  <c r="F332" i="4" s="1"/>
  <c r="B331" i="4"/>
  <c r="A331" i="4"/>
  <c r="F331" i="4" s="1"/>
  <c r="B330" i="4"/>
  <c r="A330" i="4"/>
  <c r="F330" i="4" s="1"/>
  <c r="B329" i="4"/>
  <c r="A329" i="4"/>
  <c r="F329" i="4" s="1"/>
  <c r="B328" i="4"/>
  <c r="A328" i="4"/>
  <c r="F328" i="4" s="1"/>
  <c r="B327" i="4"/>
  <c r="A327" i="4"/>
  <c r="F327" i="4" s="1"/>
  <c r="B326" i="4"/>
  <c r="A326" i="4"/>
  <c r="F326" i="4" s="1"/>
  <c r="B325" i="4"/>
  <c r="A325" i="4"/>
  <c r="F325" i="4" s="1"/>
  <c r="B324" i="4"/>
  <c r="A324" i="4"/>
  <c r="F324" i="4" s="1"/>
  <c r="B323" i="4"/>
  <c r="A323" i="4"/>
  <c r="F323" i="4" s="1"/>
  <c r="B322" i="4"/>
  <c r="A322" i="4"/>
  <c r="F322" i="4" s="1"/>
  <c r="B321" i="4"/>
  <c r="A321" i="4"/>
  <c r="F321" i="4" s="1"/>
  <c r="B320" i="4"/>
  <c r="A320" i="4"/>
  <c r="F320" i="4" s="1"/>
  <c r="B319" i="4"/>
  <c r="A319" i="4"/>
  <c r="F319" i="4" s="1"/>
  <c r="B318" i="4"/>
  <c r="A318" i="4"/>
  <c r="F318" i="4" s="1"/>
  <c r="B317" i="4"/>
  <c r="A317" i="4"/>
  <c r="F317" i="4" s="1"/>
  <c r="B316" i="4"/>
  <c r="A316" i="4"/>
  <c r="F316" i="4" s="1"/>
  <c r="B315" i="4"/>
  <c r="A315" i="4"/>
  <c r="F315" i="4" s="1"/>
  <c r="B314" i="4"/>
  <c r="A314" i="4"/>
  <c r="F314" i="4" s="1"/>
  <c r="B313" i="4"/>
  <c r="A313" i="4"/>
  <c r="F313" i="4" s="1"/>
  <c r="B312" i="4"/>
  <c r="A312" i="4"/>
  <c r="F312" i="4" s="1"/>
  <c r="B311" i="4"/>
  <c r="A311" i="4"/>
  <c r="F311" i="4" s="1"/>
  <c r="B310" i="4"/>
  <c r="A310" i="4"/>
  <c r="F310" i="4" s="1"/>
  <c r="B309" i="4"/>
  <c r="A309" i="4"/>
  <c r="F309" i="4" s="1"/>
  <c r="B308" i="4"/>
  <c r="A308" i="4"/>
  <c r="F308" i="4" s="1"/>
  <c r="B307" i="4"/>
  <c r="A307" i="4"/>
  <c r="F307" i="4" s="1"/>
  <c r="B306" i="4"/>
  <c r="A306" i="4"/>
  <c r="F306" i="4" s="1"/>
  <c r="B305" i="4"/>
  <c r="A305" i="4"/>
  <c r="F305" i="4" s="1"/>
  <c r="B304" i="4"/>
  <c r="A304" i="4"/>
  <c r="F304" i="4" s="1"/>
  <c r="B303" i="4"/>
  <c r="A303" i="4"/>
  <c r="F303" i="4" s="1"/>
  <c r="B302" i="4"/>
  <c r="A302" i="4"/>
  <c r="F302" i="4" s="1"/>
  <c r="B301" i="4"/>
  <c r="A301" i="4"/>
  <c r="F301" i="4" s="1"/>
  <c r="B300" i="4"/>
  <c r="A300" i="4"/>
  <c r="F300" i="4" s="1"/>
  <c r="B299" i="4"/>
  <c r="A299" i="4"/>
  <c r="F299" i="4" s="1"/>
  <c r="B298" i="4"/>
  <c r="A298" i="4"/>
  <c r="F298" i="4" s="1"/>
  <c r="B297" i="4"/>
  <c r="A297" i="4"/>
  <c r="F297" i="4" s="1"/>
  <c r="B296" i="4"/>
  <c r="A296" i="4"/>
  <c r="F296" i="4" s="1"/>
  <c r="B295" i="4"/>
  <c r="A295" i="4"/>
  <c r="F295" i="4" s="1"/>
  <c r="B294" i="4"/>
  <c r="A294" i="4"/>
  <c r="F294" i="4" s="1"/>
  <c r="B293" i="4"/>
  <c r="A293" i="4"/>
  <c r="F293" i="4" s="1"/>
  <c r="B292" i="4"/>
  <c r="A292" i="4"/>
  <c r="F292" i="4" s="1"/>
  <c r="B291" i="4"/>
  <c r="A291" i="4"/>
  <c r="F291" i="4" s="1"/>
  <c r="B290" i="4"/>
  <c r="A290" i="4"/>
  <c r="F290" i="4" s="1"/>
  <c r="B289" i="4"/>
  <c r="A289" i="4"/>
  <c r="F289" i="4" s="1"/>
  <c r="B288" i="4"/>
  <c r="A288" i="4"/>
  <c r="F288" i="4" s="1"/>
  <c r="B287" i="4"/>
  <c r="A287" i="4"/>
  <c r="F287" i="4" s="1"/>
  <c r="B286" i="4"/>
  <c r="A286" i="4"/>
  <c r="F286" i="4" s="1"/>
  <c r="B285" i="4"/>
  <c r="A285" i="4"/>
  <c r="F285" i="4" s="1"/>
  <c r="B284" i="4"/>
  <c r="A284" i="4"/>
  <c r="F284" i="4" s="1"/>
  <c r="B283" i="4"/>
  <c r="A283" i="4"/>
  <c r="F283" i="4" s="1"/>
  <c r="B282" i="4"/>
  <c r="A282" i="4"/>
  <c r="F282" i="4" s="1"/>
  <c r="B281" i="4"/>
  <c r="A281" i="4"/>
  <c r="F281" i="4" s="1"/>
  <c r="B280" i="4"/>
  <c r="A280" i="4"/>
  <c r="F280" i="4" s="1"/>
  <c r="B279" i="4"/>
  <c r="A279" i="4"/>
  <c r="F279" i="4" s="1"/>
  <c r="B278" i="4"/>
  <c r="A278" i="4"/>
  <c r="F278" i="4" s="1"/>
  <c r="B277" i="4"/>
  <c r="A277" i="4"/>
  <c r="F277" i="4" s="1"/>
  <c r="B276" i="4"/>
  <c r="A276" i="4"/>
  <c r="F276" i="4" s="1"/>
  <c r="B275" i="4"/>
  <c r="A275" i="4"/>
  <c r="F275" i="4" s="1"/>
  <c r="B274" i="4"/>
  <c r="A274" i="4"/>
  <c r="F274" i="4" s="1"/>
  <c r="B273" i="4"/>
  <c r="A273" i="4"/>
  <c r="F273" i="4" s="1"/>
  <c r="B272" i="4"/>
  <c r="A272" i="4"/>
  <c r="F272" i="4" s="1"/>
  <c r="B271" i="4"/>
  <c r="A271" i="4"/>
  <c r="F271" i="4" s="1"/>
  <c r="B270" i="4"/>
  <c r="A270" i="4"/>
  <c r="F270" i="4" s="1"/>
  <c r="B269" i="4"/>
  <c r="A269" i="4"/>
  <c r="F269" i="4" s="1"/>
  <c r="B268" i="4"/>
  <c r="A268" i="4"/>
  <c r="F268" i="4" s="1"/>
  <c r="B267" i="4"/>
  <c r="A267" i="4"/>
  <c r="F267" i="4" s="1"/>
  <c r="B266" i="4"/>
  <c r="A266" i="4"/>
  <c r="F266" i="4" s="1"/>
  <c r="B265" i="4"/>
  <c r="A265" i="4"/>
  <c r="F265" i="4" s="1"/>
  <c r="B264" i="4"/>
  <c r="A264" i="4"/>
  <c r="F264" i="4" s="1"/>
  <c r="B263" i="4"/>
  <c r="A263" i="4"/>
  <c r="F263" i="4" s="1"/>
  <c r="B262" i="4"/>
  <c r="A262" i="4"/>
  <c r="F262" i="4" s="1"/>
  <c r="B261" i="4"/>
  <c r="A261" i="4"/>
  <c r="F261" i="4" s="1"/>
  <c r="B260" i="4"/>
  <c r="A260" i="4"/>
  <c r="F260" i="4" s="1"/>
  <c r="B259" i="4"/>
  <c r="A259" i="4"/>
  <c r="F259" i="4" s="1"/>
  <c r="B258" i="4"/>
  <c r="A258" i="4"/>
  <c r="F258" i="4" s="1"/>
  <c r="B257" i="4"/>
  <c r="A257" i="4"/>
  <c r="F257" i="4" s="1"/>
  <c r="B256" i="4"/>
  <c r="A256" i="4"/>
  <c r="F256" i="4" s="1"/>
  <c r="B255" i="4"/>
  <c r="A255" i="4"/>
  <c r="F255" i="4" s="1"/>
  <c r="B254" i="4"/>
  <c r="A254" i="4"/>
  <c r="F254" i="4" s="1"/>
  <c r="B253" i="4"/>
  <c r="A253" i="4"/>
  <c r="F253" i="4" s="1"/>
  <c r="B252" i="4"/>
  <c r="A252" i="4"/>
  <c r="F252" i="4" s="1"/>
  <c r="B251" i="4"/>
  <c r="A251" i="4"/>
  <c r="F251" i="4" s="1"/>
  <c r="B250" i="4"/>
  <c r="A250" i="4"/>
  <c r="F250" i="4" s="1"/>
  <c r="B249" i="4"/>
  <c r="A249" i="4"/>
  <c r="F249" i="4" s="1"/>
  <c r="B248" i="4"/>
  <c r="A248" i="4"/>
  <c r="F248" i="4" s="1"/>
  <c r="B247" i="4"/>
  <c r="A247" i="4"/>
  <c r="F247" i="4" s="1"/>
  <c r="B246" i="4"/>
  <c r="A246" i="4"/>
  <c r="F246" i="4" s="1"/>
  <c r="B245" i="4"/>
  <c r="A245" i="4"/>
  <c r="F245" i="4" s="1"/>
  <c r="B244" i="4"/>
  <c r="A244" i="4"/>
  <c r="F244" i="4" s="1"/>
  <c r="B243" i="4"/>
  <c r="A243" i="4"/>
  <c r="F243" i="4" s="1"/>
  <c r="B242" i="4"/>
  <c r="A242" i="4"/>
  <c r="F242" i="4" s="1"/>
  <c r="B241" i="4"/>
  <c r="A241" i="4"/>
  <c r="F241" i="4" s="1"/>
  <c r="B240" i="4"/>
  <c r="A240" i="4"/>
  <c r="F240" i="4" s="1"/>
  <c r="B239" i="4"/>
  <c r="A239" i="4"/>
  <c r="F239" i="4" s="1"/>
  <c r="B238" i="4"/>
  <c r="A238" i="4"/>
  <c r="F238" i="4" s="1"/>
  <c r="B237" i="4"/>
  <c r="A237" i="4"/>
  <c r="F237" i="4" s="1"/>
  <c r="B236" i="4"/>
  <c r="A236" i="4"/>
  <c r="F236" i="4" s="1"/>
  <c r="B235" i="4"/>
  <c r="A235" i="4"/>
  <c r="F235" i="4" s="1"/>
  <c r="B234" i="4"/>
  <c r="A234" i="4"/>
  <c r="F234" i="4" s="1"/>
  <c r="B233" i="4"/>
  <c r="A233" i="4"/>
  <c r="F233" i="4" s="1"/>
  <c r="B232" i="4"/>
  <c r="A232" i="4"/>
  <c r="F232" i="4" s="1"/>
  <c r="B231" i="4"/>
  <c r="A231" i="4"/>
  <c r="F231" i="4" s="1"/>
  <c r="B230" i="4"/>
  <c r="A230" i="4"/>
  <c r="F230" i="4" s="1"/>
  <c r="B229" i="4"/>
  <c r="A229" i="4"/>
  <c r="F229" i="4" s="1"/>
  <c r="B228" i="4"/>
  <c r="A228" i="4"/>
  <c r="F228" i="4" s="1"/>
  <c r="B227" i="4"/>
  <c r="A227" i="4"/>
  <c r="F227" i="4" s="1"/>
  <c r="B226" i="4"/>
  <c r="A226" i="4"/>
  <c r="F226" i="4" s="1"/>
  <c r="B225" i="4"/>
  <c r="A225" i="4"/>
  <c r="F225" i="4" s="1"/>
  <c r="B224" i="4"/>
  <c r="A224" i="4"/>
  <c r="F224" i="4" s="1"/>
  <c r="B223" i="4"/>
  <c r="A223" i="4"/>
  <c r="F223" i="4" s="1"/>
  <c r="B222" i="4"/>
  <c r="A222" i="4"/>
  <c r="F222" i="4" s="1"/>
  <c r="B221" i="4"/>
  <c r="A221" i="4"/>
  <c r="F221" i="4" s="1"/>
  <c r="B220" i="4"/>
  <c r="A220" i="4"/>
  <c r="F220" i="4" s="1"/>
  <c r="B219" i="4"/>
  <c r="A219" i="4"/>
  <c r="F219" i="4" s="1"/>
  <c r="B218" i="4"/>
  <c r="A218" i="4"/>
  <c r="F218" i="4" s="1"/>
  <c r="B217" i="4"/>
  <c r="A217" i="4"/>
  <c r="F217" i="4" s="1"/>
  <c r="B216" i="4"/>
  <c r="A216" i="4"/>
  <c r="F216" i="4" s="1"/>
  <c r="B215" i="4"/>
  <c r="A215" i="4"/>
  <c r="F215" i="4" s="1"/>
  <c r="B214" i="4"/>
  <c r="A214" i="4"/>
  <c r="F214" i="4" s="1"/>
  <c r="B213" i="4"/>
  <c r="A213" i="4"/>
  <c r="F213" i="4" s="1"/>
  <c r="B212" i="4"/>
  <c r="A212" i="4"/>
  <c r="F212" i="4" s="1"/>
  <c r="B211" i="4"/>
  <c r="A211" i="4"/>
  <c r="F211" i="4" s="1"/>
  <c r="B210" i="4"/>
  <c r="A210" i="4"/>
  <c r="F210" i="4" s="1"/>
  <c r="B209" i="4"/>
  <c r="A209" i="4"/>
  <c r="F209" i="4" s="1"/>
  <c r="B208" i="4"/>
  <c r="A208" i="4"/>
  <c r="F208" i="4" s="1"/>
  <c r="B207" i="4"/>
  <c r="A207" i="4"/>
  <c r="F207" i="4" s="1"/>
  <c r="B206" i="4"/>
  <c r="A206" i="4"/>
  <c r="F206" i="4" s="1"/>
  <c r="B205" i="4"/>
  <c r="A205" i="4"/>
  <c r="F205" i="4" s="1"/>
  <c r="B204" i="4"/>
  <c r="A204" i="4"/>
  <c r="F204" i="4" s="1"/>
  <c r="B203" i="4"/>
  <c r="A203" i="4"/>
  <c r="F203" i="4" s="1"/>
  <c r="B202" i="4"/>
  <c r="A202" i="4"/>
  <c r="F202" i="4" s="1"/>
  <c r="B201" i="4"/>
  <c r="A201" i="4"/>
  <c r="F201" i="4" s="1"/>
  <c r="B200" i="4"/>
  <c r="A200" i="4"/>
  <c r="F200" i="4" s="1"/>
  <c r="B199" i="4"/>
  <c r="A199" i="4"/>
  <c r="F199" i="4" s="1"/>
  <c r="B198" i="4"/>
  <c r="A198" i="4"/>
  <c r="F198" i="4" s="1"/>
  <c r="B197" i="4"/>
  <c r="A197" i="4"/>
  <c r="F197" i="4" s="1"/>
  <c r="B196" i="4"/>
  <c r="A196" i="4"/>
  <c r="F196" i="4" s="1"/>
  <c r="B195" i="4"/>
  <c r="A195" i="4"/>
  <c r="F195" i="4" s="1"/>
  <c r="B194" i="4"/>
  <c r="A194" i="4"/>
  <c r="F194" i="4" s="1"/>
  <c r="B193" i="4"/>
  <c r="A193" i="4"/>
  <c r="F193" i="4" s="1"/>
  <c r="B192" i="4"/>
  <c r="A192" i="4"/>
  <c r="F192" i="4" s="1"/>
  <c r="B191" i="4"/>
  <c r="A191" i="4"/>
  <c r="F191" i="4" s="1"/>
  <c r="B190" i="4"/>
  <c r="A190" i="4"/>
  <c r="F190" i="4" s="1"/>
  <c r="B189" i="4"/>
  <c r="A189" i="4"/>
  <c r="F189" i="4" s="1"/>
  <c r="B188" i="4"/>
  <c r="A188" i="4"/>
  <c r="F188" i="4" s="1"/>
  <c r="B187" i="4"/>
  <c r="A187" i="4"/>
  <c r="F187" i="4" s="1"/>
  <c r="B186" i="4"/>
  <c r="A186" i="4"/>
  <c r="F186" i="4" s="1"/>
  <c r="B185" i="4"/>
  <c r="A185" i="4"/>
  <c r="F185" i="4" s="1"/>
  <c r="B184" i="4"/>
  <c r="A184" i="4"/>
  <c r="F184" i="4" s="1"/>
  <c r="B183" i="4"/>
  <c r="A183" i="4"/>
  <c r="F183" i="4" s="1"/>
  <c r="B182" i="4"/>
  <c r="A182" i="4"/>
  <c r="F182" i="4" s="1"/>
  <c r="B181" i="4"/>
  <c r="A181" i="4"/>
  <c r="F181" i="4" s="1"/>
  <c r="B180" i="4"/>
  <c r="A180" i="4"/>
  <c r="F180" i="4" s="1"/>
  <c r="B179" i="4"/>
  <c r="A179" i="4"/>
  <c r="F179" i="4" s="1"/>
  <c r="B178" i="4"/>
  <c r="A178" i="4"/>
  <c r="F178" i="4" s="1"/>
  <c r="B177" i="4"/>
  <c r="A177" i="4"/>
  <c r="F177" i="4" s="1"/>
  <c r="B176" i="4"/>
  <c r="A176" i="4"/>
  <c r="F176" i="4" s="1"/>
  <c r="B175" i="4"/>
  <c r="A175" i="4"/>
  <c r="F175" i="4" s="1"/>
  <c r="B174" i="4"/>
  <c r="A174" i="4"/>
  <c r="F174" i="4" s="1"/>
  <c r="B173" i="4"/>
  <c r="A173" i="4"/>
  <c r="F173" i="4" s="1"/>
  <c r="B172" i="4"/>
  <c r="A172" i="4"/>
  <c r="F172" i="4" s="1"/>
  <c r="B171" i="4"/>
  <c r="A171" i="4"/>
  <c r="F171" i="4" s="1"/>
  <c r="B170" i="4"/>
  <c r="A170" i="4"/>
  <c r="F170" i="4" s="1"/>
  <c r="B169" i="4"/>
  <c r="A169" i="4"/>
  <c r="F169" i="4" s="1"/>
  <c r="B168" i="4"/>
  <c r="A168" i="4"/>
  <c r="F168" i="4" s="1"/>
  <c r="B167" i="4"/>
  <c r="A167" i="4"/>
  <c r="F167" i="4" s="1"/>
  <c r="B166" i="4"/>
  <c r="A166" i="4"/>
  <c r="F166" i="4" s="1"/>
  <c r="B165" i="4"/>
  <c r="A165" i="4"/>
  <c r="F165" i="4" s="1"/>
  <c r="B164" i="4"/>
  <c r="A164" i="4"/>
  <c r="F164" i="4" s="1"/>
  <c r="B163" i="4"/>
  <c r="A163" i="4"/>
  <c r="F163" i="4" s="1"/>
  <c r="B162" i="4"/>
  <c r="A162" i="4"/>
  <c r="F162" i="4" s="1"/>
  <c r="B161" i="4"/>
  <c r="A161" i="4"/>
  <c r="F161" i="4" s="1"/>
  <c r="B160" i="4"/>
  <c r="A160" i="4"/>
  <c r="F160" i="4" s="1"/>
  <c r="B159" i="4"/>
  <c r="A159" i="4"/>
  <c r="F159" i="4" s="1"/>
  <c r="B158" i="4"/>
  <c r="A158" i="4"/>
  <c r="F158" i="4" s="1"/>
  <c r="B157" i="4"/>
  <c r="A157" i="4"/>
  <c r="F157" i="4" s="1"/>
  <c r="B156" i="4"/>
  <c r="A156" i="4"/>
  <c r="F156" i="4" s="1"/>
  <c r="B155" i="4"/>
  <c r="A155" i="4"/>
  <c r="F155" i="4" s="1"/>
  <c r="B154" i="4"/>
  <c r="A154" i="4"/>
  <c r="F154" i="4" s="1"/>
  <c r="B153" i="4"/>
  <c r="A153" i="4"/>
  <c r="F153" i="4" s="1"/>
  <c r="B152" i="4"/>
  <c r="A152" i="4"/>
  <c r="F152" i="4" s="1"/>
  <c r="B151" i="4"/>
  <c r="A151" i="4"/>
  <c r="F151" i="4" s="1"/>
  <c r="B150" i="4"/>
  <c r="A150" i="4"/>
  <c r="F150" i="4" s="1"/>
  <c r="B149" i="4"/>
  <c r="A149" i="4"/>
  <c r="F149" i="4" s="1"/>
  <c r="B148" i="4"/>
  <c r="A148" i="4"/>
  <c r="F148" i="4" s="1"/>
  <c r="B147" i="4"/>
  <c r="A147" i="4"/>
  <c r="F147" i="4" s="1"/>
  <c r="B146" i="4"/>
  <c r="A146" i="4"/>
  <c r="F146" i="4" s="1"/>
  <c r="B145" i="4"/>
  <c r="A145" i="4"/>
  <c r="F145" i="4" s="1"/>
  <c r="B144" i="4"/>
  <c r="A144" i="4"/>
  <c r="F144" i="4" s="1"/>
  <c r="B143" i="4"/>
  <c r="A143" i="4"/>
  <c r="F143" i="4" s="1"/>
  <c r="B142" i="4"/>
  <c r="A142" i="4"/>
  <c r="F142" i="4" s="1"/>
  <c r="B141" i="4"/>
  <c r="A141" i="4"/>
  <c r="F141" i="4" s="1"/>
  <c r="B140" i="4"/>
  <c r="A140" i="4"/>
  <c r="F140" i="4" s="1"/>
  <c r="B139" i="4"/>
  <c r="A139" i="4"/>
  <c r="F139" i="4" s="1"/>
  <c r="B138" i="4"/>
  <c r="A138" i="4"/>
  <c r="F138" i="4" s="1"/>
  <c r="B137" i="4"/>
  <c r="A137" i="4"/>
  <c r="F137" i="4" s="1"/>
  <c r="B136" i="4"/>
  <c r="A136" i="4"/>
  <c r="F136" i="4" s="1"/>
  <c r="B135" i="4"/>
  <c r="A135" i="4"/>
  <c r="F135" i="4" s="1"/>
  <c r="B134" i="4"/>
  <c r="A134" i="4"/>
  <c r="F134" i="4" s="1"/>
  <c r="B133" i="4"/>
  <c r="A133" i="4"/>
  <c r="F133" i="4" s="1"/>
  <c r="B132" i="4"/>
  <c r="A132" i="4"/>
  <c r="F132" i="4" s="1"/>
  <c r="B131" i="4"/>
  <c r="A131" i="4"/>
  <c r="F131" i="4" s="1"/>
  <c r="B130" i="4"/>
  <c r="A130" i="4"/>
  <c r="F130" i="4" s="1"/>
  <c r="B129" i="4"/>
  <c r="A129" i="4"/>
  <c r="F129" i="4" s="1"/>
  <c r="B128" i="4"/>
  <c r="A128" i="4"/>
  <c r="F128" i="4" s="1"/>
  <c r="B127" i="4"/>
  <c r="A127" i="4"/>
  <c r="F127" i="4" s="1"/>
  <c r="B126" i="4"/>
  <c r="A126" i="4"/>
  <c r="F126" i="4" s="1"/>
  <c r="B125" i="4"/>
  <c r="A125" i="4"/>
  <c r="F125" i="4" s="1"/>
  <c r="B124" i="4"/>
  <c r="A124" i="4"/>
  <c r="F124" i="4" s="1"/>
  <c r="B123" i="4"/>
  <c r="A123" i="4"/>
  <c r="F123" i="4" s="1"/>
  <c r="B122" i="4"/>
  <c r="A122" i="4"/>
  <c r="F122" i="4" s="1"/>
  <c r="B121" i="4"/>
  <c r="A121" i="4"/>
  <c r="F121" i="4" s="1"/>
  <c r="B120" i="4"/>
  <c r="A120" i="4"/>
  <c r="F120" i="4" s="1"/>
  <c r="B119" i="4"/>
  <c r="A119" i="4"/>
  <c r="F119" i="4" s="1"/>
  <c r="B118" i="4"/>
  <c r="A118" i="4"/>
  <c r="F118" i="4" s="1"/>
  <c r="B117" i="4"/>
  <c r="A117" i="4"/>
  <c r="F117" i="4" s="1"/>
  <c r="B116" i="4"/>
  <c r="A116" i="4"/>
  <c r="F116" i="4" s="1"/>
  <c r="B115" i="4"/>
  <c r="A115" i="4"/>
  <c r="F115" i="4" s="1"/>
  <c r="B114" i="4"/>
  <c r="A114" i="4"/>
  <c r="F114" i="4" s="1"/>
  <c r="B113" i="4"/>
  <c r="A113" i="4"/>
  <c r="F113" i="4" s="1"/>
  <c r="B112" i="4"/>
  <c r="A112" i="4"/>
  <c r="F112" i="4" s="1"/>
  <c r="B111" i="4"/>
  <c r="A111" i="4"/>
  <c r="F111" i="4" s="1"/>
  <c r="B110" i="4"/>
  <c r="A110" i="4"/>
  <c r="F110" i="4" s="1"/>
  <c r="B109" i="4"/>
  <c r="A109" i="4"/>
  <c r="F109" i="4" s="1"/>
  <c r="B108" i="4"/>
  <c r="A108" i="4"/>
  <c r="F108" i="4" s="1"/>
  <c r="B107" i="4"/>
  <c r="A107" i="4"/>
  <c r="F107" i="4" s="1"/>
  <c r="B106" i="4"/>
  <c r="A106" i="4"/>
  <c r="F106" i="4" s="1"/>
  <c r="B105" i="4"/>
  <c r="A105" i="4"/>
  <c r="F105" i="4" s="1"/>
  <c r="B104" i="4"/>
  <c r="A104" i="4"/>
  <c r="F104" i="4" s="1"/>
  <c r="B103" i="4"/>
  <c r="A103" i="4"/>
  <c r="F103" i="4" s="1"/>
  <c r="B102" i="4"/>
  <c r="A102" i="4"/>
  <c r="F102" i="4" s="1"/>
  <c r="B101" i="4"/>
  <c r="A101" i="4"/>
  <c r="F101" i="4" s="1"/>
  <c r="B100" i="4"/>
  <c r="A100" i="4"/>
  <c r="F100" i="4" s="1"/>
  <c r="B99" i="4"/>
  <c r="A99" i="4"/>
  <c r="F99" i="4" s="1"/>
  <c r="B98" i="4"/>
  <c r="A98" i="4"/>
  <c r="F98" i="4" s="1"/>
  <c r="B97" i="4"/>
  <c r="A97" i="4"/>
  <c r="F97" i="4" s="1"/>
  <c r="B96" i="4"/>
  <c r="A96" i="4"/>
  <c r="F96" i="4" s="1"/>
  <c r="B95" i="4"/>
  <c r="A95" i="4"/>
  <c r="F95" i="4" s="1"/>
  <c r="B94" i="4"/>
  <c r="A94" i="4"/>
  <c r="F94" i="4" s="1"/>
  <c r="B93" i="4"/>
  <c r="A93" i="4"/>
  <c r="F93" i="4" s="1"/>
  <c r="B92" i="4"/>
  <c r="A92" i="4"/>
  <c r="F92" i="4" s="1"/>
  <c r="B91" i="4"/>
  <c r="A91" i="4"/>
  <c r="F91" i="4" s="1"/>
  <c r="B90" i="4"/>
  <c r="A90" i="4"/>
  <c r="F90" i="4" s="1"/>
  <c r="B89" i="4"/>
  <c r="A89" i="4"/>
  <c r="F89" i="4" s="1"/>
  <c r="B88" i="4"/>
  <c r="A88" i="4"/>
  <c r="F88" i="4" s="1"/>
  <c r="B87" i="4"/>
  <c r="A87" i="4"/>
  <c r="F87" i="4" s="1"/>
  <c r="B86" i="4"/>
  <c r="A86" i="4"/>
  <c r="F86" i="4" s="1"/>
  <c r="B85" i="4"/>
  <c r="A85" i="4"/>
  <c r="F85" i="4" s="1"/>
  <c r="B84" i="4"/>
  <c r="A84" i="4"/>
  <c r="F84" i="4" s="1"/>
  <c r="B83" i="4"/>
  <c r="A83" i="4"/>
  <c r="F83" i="4" s="1"/>
  <c r="B82" i="4"/>
  <c r="A82" i="4"/>
  <c r="F82" i="4" s="1"/>
  <c r="B81" i="4"/>
  <c r="A81" i="4"/>
  <c r="F81" i="4" s="1"/>
  <c r="B80" i="4"/>
  <c r="A80" i="4"/>
  <c r="F80" i="4" s="1"/>
  <c r="B79" i="4"/>
  <c r="A79" i="4"/>
  <c r="F79" i="4" s="1"/>
  <c r="B78" i="4"/>
  <c r="A78" i="4"/>
  <c r="F78" i="4" s="1"/>
  <c r="B77" i="4"/>
  <c r="A77" i="4"/>
  <c r="B76" i="4"/>
  <c r="A76" i="4"/>
  <c r="F76" i="4" s="1"/>
  <c r="B75" i="4"/>
  <c r="A75" i="4"/>
  <c r="F75" i="4" s="1"/>
  <c r="B74" i="4"/>
  <c r="A74" i="4"/>
  <c r="F74" i="4" s="1"/>
  <c r="B73" i="4"/>
  <c r="A73" i="4"/>
  <c r="F73" i="4" s="1"/>
  <c r="B72" i="4"/>
  <c r="A72" i="4"/>
  <c r="F72" i="4" s="1"/>
  <c r="B71" i="4"/>
  <c r="A71" i="4"/>
  <c r="F71" i="4" s="1"/>
  <c r="B70" i="4"/>
  <c r="A70" i="4"/>
  <c r="F70" i="4" s="1"/>
  <c r="B69" i="4"/>
  <c r="A69" i="4"/>
  <c r="F69" i="4" s="1"/>
  <c r="B68" i="4"/>
  <c r="A68" i="4"/>
  <c r="F68" i="4" s="1"/>
  <c r="B67" i="4"/>
  <c r="A67" i="4"/>
  <c r="F67" i="4" s="1"/>
  <c r="B66" i="4"/>
  <c r="A66" i="4"/>
  <c r="F66" i="4" s="1"/>
  <c r="B65" i="4"/>
  <c r="A65" i="4"/>
  <c r="F65" i="4" s="1"/>
  <c r="B64" i="4"/>
  <c r="A64" i="4"/>
  <c r="F64" i="4" s="1"/>
  <c r="B63" i="4"/>
  <c r="A63" i="4"/>
  <c r="F63" i="4" s="1"/>
  <c r="B62" i="4"/>
  <c r="A62" i="4"/>
  <c r="F62" i="4" s="1"/>
  <c r="B61" i="4"/>
  <c r="A61" i="4"/>
  <c r="F61" i="4" s="1"/>
  <c r="B60" i="4"/>
  <c r="A60" i="4"/>
  <c r="F60" i="4" s="1"/>
  <c r="B59" i="4"/>
  <c r="A59" i="4"/>
  <c r="F59" i="4" s="1"/>
  <c r="B58" i="4"/>
  <c r="A58" i="4"/>
  <c r="F58" i="4" s="1"/>
  <c r="B57" i="4"/>
  <c r="A57" i="4"/>
  <c r="F57" i="4" s="1"/>
  <c r="B56" i="4"/>
  <c r="A56" i="4"/>
  <c r="F56" i="4" s="1"/>
  <c r="B55" i="4"/>
  <c r="A55" i="4"/>
  <c r="F55" i="4" s="1"/>
  <c r="B54" i="4"/>
  <c r="A54" i="4"/>
  <c r="F54" i="4" s="1"/>
  <c r="B53" i="4"/>
  <c r="A53" i="4"/>
  <c r="F53" i="4" s="1"/>
  <c r="B52" i="4"/>
  <c r="A52" i="4"/>
  <c r="F52" i="4" s="1"/>
  <c r="B51" i="4"/>
  <c r="A51" i="4"/>
  <c r="F51" i="4" s="1"/>
  <c r="B50" i="4"/>
  <c r="A50" i="4"/>
  <c r="F50" i="4" s="1"/>
  <c r="B49" i="4"/>
  <c r="A49" i="4"/>
  <c r="F49" i="4" s="1"/>
  <c r="B48" i="4"/>
  <c r="A48" i="4"/>
  <c r="F48" i="4" s="1"/>
  <c r="B47" i="4"/>
  <c r="A47" i="4"/>
  <c r="F47" i="4" s="1"/>
  <c r="B46" i="4"/>
  <c r="A46" i="4"/>
  <c r="F46" i="4" s="1"/>
  <c r="B45" i="4"/>
  <c r="A45" i="4"/>
  <c r="F45" i="4" s="1"/>
  <c r="B44" i="4"/>
  <c r="A44" i="4"/>
  <c r="F44" i="4" s="1"/>
  <c r="B43" i="4"/>
  <c r="A43" i="4"/>
  <c r="F43" i="4" s="1"/>
  <c r="B42" i="4"/>
  <c r="A42" i="4"/>
  <c r="F42" i="4" s="1"/>
  <c r="B41" i="4"/>
  <c r="A41" i="4"/>
  <c r="F41" i="4" s="1"/>
  <c r="B40" i="4"/>
  <c r="A40" i="4"/>
  <c r="F40" i="4" s="1"/>
  <c r="B39" i="4"/>
  <c r="A39" i="4"/>
  <c r="F39" i="4" s="1"/>
  <c r="B38" i="4"/>
  <c r="A38" i="4"/>
  <c r="F38" i="4" s="1"/>
  <c r="B37" i="4"/>
  <c r="A37" i="4"/>
  <c r="F37" i="4" s="1"/>
  <c r="B36" i="4"/>
  <c r="A36" i="4"/>
  <c r="F36" i="4" s="1"/>
  <c r="B35" i="4"/>
  <c r="A35" i="4"/>
  <c r="F35" i="4" s="1"/>
  <c r="B34" i="4"/>
  <c r="A34" i="4"/>
  <c r="F34" i="4" s="1"/>
  <c r="B33" i="4"/>
  <c r="A33" i="4"/>
  <c r="F33" i="4" s="1"/>
  <c r="B32" i="4"/>
  <c r="A32" i="4"/>
  <c r="F32" i="4" s="1"/>
  <c r="B31" i="4"/>
  <c r="A31" i="4"/>
  <c r="F31" i="4" s="1"/>
  <c r="B30" i="4"/>
  <c r="A30" i="4"/>
  <c r="F30" i="4" s="1"/>
  <c r="B29" i="4"/>
  <c r="A29" i="4"/>
  <c r="F29" i="4" s="1"/>
  <c r="B28" i="4"/>
  <c r="A28" i="4"/>
  <c r="F28" i="4" s="1"/>
  <c r="B27" i="4"/>
  <c r="A27" i="4"/>
  <c r="F27" i="4" s="1"/>
  <c r="B26" i="4"/>
  <c r="A26" i="4"/>
  <c r="F26" i="4" s="1"/>
  <c r="B25" i="4"/>
  <c r="A25" i="4"/>
  <c r="F25" i="4" s="1"/>
  <c r="B24" i="4"/>
  <c r="A24" i="4"/>
  <c r="F24" i="4" s="1"/>
  <c r="B23" i="4"/>
  <c r="A23" i="4"/>
  <c r="F23" i="4" s="1"/>
  <c r="B22" i="4"/>
  <c r="A22" i="4"/>
  <c r="F22" i="4" s="1"/>
  <c r="B21" i="4"/>
  <c r="A21" i="4"/>
  <c r="F21" i="4" s="1"/>
  <c r="B20" i="4"/>
  <c r="A20" i="4"/>
  <c r="F20" i="4" s="1"/>
  <c r="B19" i="4"/>
  <c r="A19" i="4"/>
  <c r="F19" i="4" s="1"/>
  <c r="B18" i="4"/>
  <c r="A18" i="4"/>
  <c r="F18" i="4" s="1"/>
  <c r="B17" i="4"/>
  <c r="A17" i="4"/>
  <c r="F17" i="4" s="1"/>
  <c r="B16" i="4"/>
  <c r="A16" i="4"/>
  <c r="F16" i="4" s="1"/>
  <c r="B15" i="4"/>
  <c r="A15" i="4"/>
  <c r="F15" i="4" s="1"/>
  <c r="B14" i="4"/>
  <c r="A14" i="4"/>
  <c r="F14" i="4" s="1"/>
  <c r="B13" i="4"/>
  <c r="A13" i="4"/>
  <c r="F13" i="4" s="1"/>
  <c r="B12" i="4"/>
  <c r="A12" i="4"/>
  <c r="F12" i="4" s="1"/>
  <c r="B11" i="4"/>
  <c r="A11" i="4"/>
  <c r="F11" i="4" s="1"/>
  <c r="B10" i="4"/>
  <c r="A10" i="4"/>
  <c r="F10" i="4" s="1"/>
  <c r="B9" i="4"/>
  <c r="A9" i="4"/>
  <c r="F9" i="4" s="1"/>
  <c r="B8" i="4"/>
  <c r="A8" i="4"/>
  <c r="F8" i="4" s="1"/>
  <c r="B7" i="4"/>
  <c r="A7" i="4"/>
  <c r="F7" i="4" s="1"/>
  <c r="B6" i="4"/>
  <c r="A6" i="4"/>
  <c r="F6" i="4" s="1"/>
  <c r="B5" i="4"/>
  <c r="A5" i="4"/>
  <c r="F5" i="4" s="1"/>
  <c r="B4" i="4"/>
  <c r="A4" i="4"/>
  <c r="F4" i="4" s="1"/>
  <c r="F77" i="4" l="1"/>
  <c r="H77" i="4" s="1"/>
  <c r="H105" i="4"/>
  <c r="H315" i="4"/>
  <c r="H513" i="4"/>
  <c r="H891" i="4"/>
  <c r="H1100" i="4"/>
  <c r="H1106" i="4"/>
  <c r="G1124" i="4"/>
  <c r="E1124" i="4" s="1"/>
  <c r="H1136" i="4"/>
  <c r="H1190" i="4"/>
  <c r="G1406" i="4"/>
  <c r="E1406" i="4" s="1"/>
  <c r="H1418" i="4"/>
  <c r="H1478" i="4"/>
  <c r="G1490" i="4"/>
  <c r="E1490" i="4" s="1"/>
  <c r="H1502" i="4"/>
  <c r="H1508" i="4"/>
  <c r="G1526" i="4"/>
  <c r="E1526" i="4" s="1"/>
  <c r="H1538" i="4"/>
  <c r="H1544" i="4"/>
  <c r="H1580" i="4"/>
  <c r="H1700" i="4"/>
  <c r="H1712" i="4"/>
  <c r="H1736" i="4"/>
  <c r="H1760" i="4"/>
  <c r="G1880" i="4"/>
  <c r="E1880" i="4" s="1"/>
  <c r="H1892" i="4"/>
  <c r="H1904" i="4"/>
  <c r="H1916" i="4"/>
  <c r="G1940" i="4"/>
  <c r="E1940" i="4" s="1"/>
  <c r="H1946" i="4"/>
  <c r="H2012" i="4"/>
  <c r="G2060" i="4"/>
  <c r="E2060" i="4" s="1"/>
  <c r="G2084" i="4"/>
  <c r="E2084" i="4" s="1"/>
  <c r="G2108" i="4"/>
  <c r="E2108" i="4" s="1"/>
  <c r="H2120" i="4"/>
  <c r="H2126" i="4"/>
  <c r="G2132" i="4"/>
  <c r="E2132" i="4" s="1"/>
  <c r="G2138" i="4"/>
  <c r="E2138" i="4" s="1"/>
  <c r="H2144" i="4"/>
  <c r="G2150" i="4"/>
  <c r="E2150" i="4" s="1"/>
  <c r="H2156" i="4"/>
  <c r="G2168" i="4"/>
  <c r="E2168" i="4" s="1"/>
  <c r="H2180" i="4"/>
  <c r="H2336" i="4"/>
  <c r="H2354" i="4"/>
  <c r="H2378" i="4"/>
  <c r="H2390" i="4"/>
  <c r="G2402" i="4"/>
  <c r="E2402" i="4" s="1"/>
  <c r="G2426" i="4"/>
  <c r="E2426" i="4" s="1"/>
  <c r="H2545" i="4"/>
  <c r="H2551" i="4"/>
  <c r="H2599" i="4"/>
  <c r="G2611" i="4"/>
  <c r="E2611" i="4" s="1"/>
  <c r="G2617" i="4"/>
  <c r="E2617" i="4" s="1"/>
  <c r="H2653" i="4"/>
  <c r="H2659" i="4"/>
  <c r="H2700" i="4"/>
  <c r="H2706" i="4"/>
  <c r="H2712" i="4"/>
  <c r="H2724" i="4"/>
  <c r="H357" i="4"/>
  <c r="G399" i="4"/>
  <c r="E399" i="4" s="1"/>
  <c r="H1094" i="4"/>
  <c r="H1118" i="4"/>
  <c r="H1130" i="4"/>
  <c r="G1142" i="4"/>
  <c r="E1142" i="4" s="1"/>
  <c r="H1166" i="4"/>
  <c r="H1256" i="4"/>
  <c r="H1394" i="4"/>
  <c r="H1436" i="4"/>
  <c r="H1466" i="4"/>
  <c r="H1496" i="4"/>
  <c r="G1532" i="4"/>
  <c r="E1532" i="4" s="1"/>
  <c r="G1550" i="4"/>
  <c r="E1550" i="4" s="1"/>
  <c r="G1562" i="4"/>
  <c r="E1562" i="4" s="1"/>
  <c r="G1778" i="4"/>
  <c r="E1778" i="4" s="1"/>
  <c r="H1790" i="4"/>
  <c r="G2018" i="4"/>
  <c r="E2018" i="4" s="1"/>
  <c r="G129" i="4"/>
  <c r="E129" i="4" s="1"/>
  <c r="H177" i="4"/>
  <c r="H249" i="4"/>
  <c r="H477" i="4"/>
  <c r="G190" i="4"/>
  <c r="E190" i="4" s="1"/>
  <c r="G238" i="4"/>
  <c r="E238" i="4" s="1"/>
  <c r="H292" i="4"/>
  <c r="G334" i="4"/>
  <c r="E334" i="4" s="1"/>
  <c r="G418" i="4"/>
  <c r="E418" i="4" s="1"/>
  <c r="G430" i="4"/>
  <c r="E430" i="4" s="1"/>
  <c r="H442" i="4"/>
  <c r="H454" i="4"/>
  <c r="G472" i="4"/>
  <c r="E472" i="4" s="1"/>
  <c r="H496" i="4"/>
  <c r="G544" i="4"/>
  <c r="E544" i="4" s="1"/>
  <c r="H556" i="4"/>
  <c r="G568" i="4"/>
  <c r="E568" i="4" s="1"/>
  <c r="H574" i="4"/>
  <c r="G598" i="4"/>
  <c r="E598" i="4" s="1"/>
  <c r="H622" i="4"/>
  <c r="H634" i="4"/>
  <c r="H658" i="4"/>
  <c r="H670" i="4"/>
  <c r="H783" i="4"/>
  <c r="H795" i="4"/>
  <c r="G807" i="4"/>
  <c r="E807" i="4" s="1"/>
  <c r="H819" i="4"/>
  <c r="H831" i="4"/>
  <c r="G843" i="4"/>
  <c r="E843" i="4" s="1"/>
  <c r="H856" i="4"/>
  <c r="G868" i="4"/>
  <c r="E868" i="4" s="1"/>
  <c r="H874" i="4"/>
  <c r="H880" i="4"/>
  <c r="H886" i="4"/>
  <c r="H892" i="4"/>
  <c r="H898" i="4"/>
  <c r="H933" i="4"/>
  <c r="G945" i="4"/>
  <c r="E945" i="4" s="1"/>
  <c r="H1149" i="4"/>
  <c r="H1155" i="4"/>
  <c r="H1167" i="4"/>
  <c r="G1173" i="4"/>
  <c r="E1173" i="4" s="1"/>
  <c r="H1191" i="4"/>
  <c r="H1239" i="4"/>
  <c r="H1389" i="4"/>
  <c r="H1395" i="4"/>
  <c r="H1401" i="4"/>
  <c r="H1407" i="4"/>
  <c r="G1419" i="4"/>
  <c r="E1419" i="4" s="1"/>
  <c r="H1437" i="4"/>
  <c r="H1455" i="4"/>
  <c r="G1461" i="4"/>
  <c r="E1461" i="4" s="1"/>
  <c r="H1467" i="4"/>
  <c r="H1497" i="4"/>
  <c r="H1503" i="4"/>
  <c r="G1509" i="4"/>
  <c r="E1509" i="4" s="1"/>
  <c r="H1527" i="4"/>
  <c r="H1551" i="4"/>
  <c r="H1599" i="4"/>
  <c r="G1605" i="4"/>
  <c r="E1605" i="4" s="1"/>
  <c r="G1611" i="4"/>
  <c r="E1611" i="4" s="1"/>
  <c r="H1617" i="4"/>
  <c r="H1623" i="4"/>
  <c r="G1629" i="4"/>
  <c r="E1629" i="4" s="1"/>
  <c r="G1635" i="4"/>
  <c r="E1635" i="4" s="1"/>
  <c r="H1641" i="4"/>
  <c r="H1647" i="4"/>
  <c r="H1653" i="4"/>
  <c r="H1659" i="4"/>
  <c r="H1665" i="4"/>
  <c r="H1677" i="4"/>
  <c r="G1683" i="4"/>
  <c r="E1683" i="4" s="1"/>
  <c r="H1689" i="4"/>
  <c r="H1695" i="4"/>
  <c r="H1725" i="4"/>
  <c r="H1749" i="4"/>
  <c r="G1785" i="4"/>
  <c r="E1785" i="4" s="1"/>
  <c r="H1875" i="4"/>
  <c r="G1893" i="4"/>
  <c r="E1893" i="4" s="1"/>
  <c r="G1899" i="4"/>
  <c r="E1899" i="4" s="1"/>
  <c r="G1911" i="4"/>
  <c r="E1911" i="4" s="1"/>
  <c r="H1923" i="4"/>
  <c r="H1935" i="4"/>
  <c r="H1947" i="4"/>
  <c r="G1953" i="4"/>
  <c r="E1953" i="4" s="1"/>
  <c r="H1959" i="4"/>
  <c r="G1965" i="4"/>
  <c r="E1965" i="4" s="1"/>
  <c r="G1971" i="4"/>
  <c r="E1971" i="4" s="1"/>
  <c r="G1977" i="4"/>
  <c r="E1977" i="4" s="1"/>
  <c r="G1983" i="4"/>
  <c r="E1983" i="4" s="1"/>
  <c r="G1989" i="4"/>
  <c r="E1989" i="4" s="1"/>
  <c r="G2001" i="4"/>
  <c r="E2001" i="4" s="1"/>
  <c r="H2007" i="4"/>
  <c r="H2013" i="4"/>
  <c r="G2205" i="4"/>
  <c r="E2205" i="4" s="1"/>
  <c r="G2211" i="4"/>
  <c r="E2211" i="4" s="1"/>
  <c r="G2217" i="4"/>
  <c r="E2217" i="4" s="1"/>
  <c r="G2223" i="4"/>
  <c r="E2223" i="4" s="1"/>
  <c r="G2229" i="4"/>
  <c r="E2229" i="4" s="1"/>
  <c r="G2235" i="4"/>
  <c r="E2235" i="4" s="1"/>
  <c r="G2265" i="4"/>
  <c r="E2265" i="4" s="1"/>
  <c r="H2289" i="4"/>
  <c r="G2313" i="4"/>
  <c r="E2313" i="4" s="1"/>
  <c r="H2331" i="4"/>
  <c r="H2349" i="4"/>
  <c r="H2355" i="4"/>
  <c r="H2361" i="4"/>
  <c r="H2367" i="4"/>
  <c r="G2373" i="4"/>
  <c r="E2373" i="4" s="1"/>
  <c r="H2379" i="4"/>
  <c r="H2385" i="4"/>
  <c r="H2391" i="4"/>
  <c r="H2397" i="4"/>
  <c r="H2403" i="4"/>
  <c r="H2409" i="4"/>
  <c r="H2415" i="4"/>
  <c r="G2522" i="4"/>
  <c r="E2522" i="4" s="1"/>
  <c r="G2528" i="4"/>
  <c r="E2528" i="4" s="1"/>
  <c r="H2540" i="4"/>
  <c r="H2546" i="4"/>
  <c r="H2558" i="4"/>
  <c r="H2570" i="4"/>
  <c r="H2600" i="4"/>
  <c r="G2618" i="4"/>
  <c r="E2618" i="4" s="1"/>
  <c r="G2624" i="4"/>
  <c r="E2624" i="4" s="1"/>
  <c r="H2642" i="4"/>
  <c r="H2666" i="4"/>
  <c r="H2677" i="4"/>
  <c r="H2683" i="4"/>
  <c r="H2725" i="4"/>
  <c r="G2743" i="4"/>
  <c r="E2743" i="4" s="1"/>
  <c r="G2767" i="4"/>
  <c r="E2767" i="4" s="1"/>
  <c r="G333" i="4"/>
  <c r="E333" i="4" s="1"/>
  <c r="H885" i="4"/>
  <c r="G142" i="4"/>
  <c r="E142" i="4" s="1"/>
  <c r="H172" i="4"/>
  <c r="G262" i="4"/>
  <c r="E262" i="4" s="1"/>
  <c r="G286" i="4"/>
  <c r="E286" i="4" s="1"/>
  <c r="H304" i="4"/>
  <c r="G310" i="4"/>
  <c r="E310" i="4" s="1"/>
  <c r="H328" i="4"/>
  <c r="H346" i="4"/>
  <c r="G358" i="4"/>
  <c r="E358" i="4" s="1"/>
  <c r="H370" i="4"/>
  <c r="H382" i="4"/>
  <c r="H484" i="4"/>
  <c r="H502" i="4"/>
  <c r="G514" i="4"/>
  <c r="E514" i="4" s="1"/>
  <c r="G586" i="4"/>
  <c r="E586" i="4" s="1"/>
  <c r="H610" i="4"/>
  <c r="G646" i="4"/>
  <c r="E646" i="4" s="1"/>
  <c r="G694" i="4"/>
  <c r="E694" i="4" s="1"/>
  <c r="H712" i="4"/>
  <c r="H718" i="4"/>
  <c r="H730" i="4"/>
  <c r="H736" i="4"/>
  <c r="G747" i="4"/>
  <c r="E747" i="4" s="1"/>
  <c r="H759" i="4"/>
  <c r="G771" i="4"/>
  <c r="E771" i="4" s="1"/>
  <c r="H5" i="4"/>
  <c r="H11" i="4"/>
  <c r="H17" i="4"/>
  <c r="H23" i="4"/>
  <c r="H29" i="4"/>
  <c r="H35" i="4"/>
  <c r="H41" i="4"/>
  <c r="H47" i="4"/>
  <c r="H53" i="4"/>
  <c r="H59" i="4"/>
  <c r="H65" i="4"/>
  <c r="H71" i="4"/>
  <c r="H81" i="4"/>
  <c r="G111" i="4"/>
  <c r="E111" i="4" s="1"/>
  <c r="G153" i="4"/>
  <c r="E153" i="4" s="1"/>
  <c r="G225" i="4"/>
  <c r="E225" i="4" s="1"/>
  <c r="H669" i="4"/>
  <c r="H699" i="4"/>
  <c r="G879" i="4"/>
  <c r="E879" i="4" s="1"/>
  <c r="G220" i="4"/>
  <c r="E220" i="4" s="1"/>
  <c r="H244" i="4"/>
  <c r="H101" i="4"/>
  <c r="H113" i="4"/>
  <c r="H119" i="4"/>
  <c r="H131" i="4"/>
  <c r="G155" i="4"/>
  <c r="E155" i="4" s="1"/>
  <c r="G251" i="4"/>
  <c r="E251" i="4" s="1"/>
  <c r="G305" i="4"/>
  <c r="E305" i="4" s="1"/>
  <c r="G329" i="4"/>
  <c r="E329" i="4" s="1"/>
  <c r="G335" i="4"/>
  <c r="E335" i="4" s="1"/>
  <c r="H491" i="4"/>
  <c r="H545" i="4"/>
  <c r="H671" i="4"/>
  <c r="H677" i="4"/>
  <c r="H719" i="4"/>
  <c r="H766" i="4"/>
  <c r="H778" i="4"/>
  <c r="G857" i="4"/>
  <c r="E857" i="4" s="1"/>
  <c r="H869" i="4"/>
  <c r="H881" i="4"/>
  <c r="H893" i="4"/>
  <c r="H899" i="4"/>
  <c r="G905" i="4"/>
  <c r="E905" i="4" s="1"/>
  <c r="H910" i="4"/>
  <c r="H916" i="4"/>
  <c r="G928" i="4"/>
  <c r="E928" i="4" s="1"/>
  <c r="G940" i="4"/>
  <c r="E940" i="4" s="1"/>
  <c r="H952" i="4"/>
  <c r="G964" i="4"/>
  <c r="E964" i="4" s="1"/>
  <c r="H1102" i="4"/>
  <c r="G1108" i="4"/>
  <c r="E1108" i="4" s="1"/>
  <c r="H1114" i="4"/>
  <c r="H1126" i="4"/>
  <c r="G1132" i="4"/>
  <c r="E1132" i="4" s="1"/>
  <c r="G1138" i="4"/>
  <c r="E1138" i="4" s="1"/>
  <c r="G1144" i="4"/>
  <c r="E1144" i="4" s="1"/>
  <c r="G1162" i="4"/>
  <c r="E1162" i="4" s="1"/>
  <c r="G1168" i="4"/>
  <c r="E1168" i="4" s="1"/>
  <c r="H1186" i="4"/>
  <c r="H1408" i="4"/>
  <c r="H1432" i="4"/>
  <c r="H1444" i="4"/>
  <c r="H1462" i="4"/>
  <c r="G1468" i="4"/>
  <c r="E1468" i="4" s="1"/>
  <c r="H1474" i="4"/>
  <c r="H1498" i="4"/>
  <c r="H1510" i="4"/>
  <c r="H1522" i="4"/>
  <c r="H1564" i="4"/>
  <c r="G1702" i="4"/>
  <c r="E1702" i="4" s="1"/>
  <c r="G1726" i="4"/>
  <c r="E1726" i="4" s="1"/>
  <c r="H1750" i="4"/>
  <c r="H1774" i="4"/>
  <c r="H1792" i="4"/>
  <c r="H1810" i="4"/>
  <c r="H1816" i="4"/>
  <c r="G1828" i="4"/>
  <c r="E1828" i="4" s="1"/>
  <c r="H1834" i="4"/>
  <c r="G1846" i="4"/>
  <c r="E1846" i="4" s="1"/>
  <c r="H1858" i="4"/>
  <c r="G1870" i="4"/>
  <c r="E1870" i="4" s="1"/>
  <c r="H1882" i="4"/>
  <c r="G1888" i="4"/>
  <c r="E1888" i="4" s="1"/>
  <c r="G1894" i="4"/>
  <c r="E1894" i="4" s="1"/>
  <c r="H1918" i="4"/>
  <c r="G1930" i="4"/>
  <c r="E1930" i="4" s="1"/>
  <c r="G2014" i="4"/>
  <c r="E2014" i="4" s="1"/>
  <c r="G2068" i="4"/>
  <c r="E2068" i="4" s="1"/>
  <c r="G2092" i="4"/>
  <c r="E2092" i="4" s="1"/>
  <c r="H2140" i="4"/>
  <c r="H2152" i="4"/>
  <c r="G2176" i="4"/>
  <c r="E2176" i="4" s="1"/>
  <c r="H2188" i="4"/>
  <c r="H2338" i="4"/>
  <c r="G2380" i="4"/>
  <c r="E2380" i="4" s="1"/>
  <c r="G2428" i="4"/>
  <c r="E2428" i="4" s="1"/>
  <c r="H2476" i="4"/>
  <c r="H2499" i="4"/>
  <c r="H2541" i="4"/>
  <c r="H2565" i="4"/>
  <c r="H2577" i="4"/>
  <c r="G2607" i="4"/>
  <c r="E2607" i="4" s="1"/>
  <c r="H93" i="4"/>
  <c r="G273" i="4"/>
  <c r="E273" i="4" s="1"/>
  <c r="H873" i="4"/>
  <c r="H148" i="4"/>
  <c r="G166" i="4"/>
  <c r="E166" i="4" s="1"/>
  <c r="H196" i="4"/>
  <c r="G214" i="4"/>
  <c r="E214" i="4" s="1"/>
  <c r="H83" i="4"/>
  <c r="H89" i="4"/>
  <c r="H95" i="4"/>
  <c r="H107" i="4"/>
  <c r="H125" i="4"/>
  <c r="H161" i="4"/>
  <c r="G179" i="4"/>
  <c r="E179" i="4" s="1"/>
  <c r="H203" i="4"/>
  <c r="G275" i="4"/>
  <c r="E275" i="4" s="1"/>
  <c r="H323" i="4"/>
  <c r="H347" i="4"/>
  <c r="H359" i="4"/>
  <c r="H365" i="4"/>
  <c r="G389" i="4"/>
  <c r="E389" i="4" s="1"/>
  <c r="H413" i="4"/>
  <c r="G479" i="4"/>
  <c r="E479" i="4" s="1"/>
  <c r="H297" i="4"/>
  <c r="G339" i="4"/>
  <c r="E339" i="4" s="1"/>
  <c r="G525" i="4"/>
  <c r="E525" i="4" s="1"/>
  <c r="H705" i="4"/>
  <c r="H144" i="4"/>
  <c r="H168" i="4"/>
  <c r="H192" i="4"/>
  <c r="G216" i="4"/>
  <c r="E216" i="4" s="1"/>
  <c r="G240" i="4"/>
  <c r="E240" i="4" s="1"/>
  <c r="H288" i="4"/>
  <c r="G324" i="4"/>
  <c r="E324" i="4" s="1"/>
  <c r="G342" i="4"/>
  <c r="E342" i="4" s="1"/>
  <c r="H348" i="4"/>
  <c r="H360" i="4"/>
  <c r="G396" i="4"/>
  <c r="E396" i="4" s="1"/>
  <c r="G474" i="4"/>
  <c r="E474" i="4" s="1"/>
  <c r="H498" i="4"/>
  <c r="G534" i="4"/>
  <c r="E534" i="4" s="1"/>
  <c r="G546" i="4"/>
  <c r="E546" i="4" s="1"/>
  <c r="G564" i="4"/>
  <c r="E564" i="4" s="1"/>
  <c r="G666" i="4"/>
  <c r="E666" i="4" s="1"/>
  <c r="G678" i="4"/>
  <c r="E678" i="4" s="1"/>
  <c r="G702" i="4"/>
  <c r="E702" i="4" s="1"/>
  <c r="G714" i="4"/>
  <c r="E714" i="4" s="1"/>
  <c r="G738" i="4"/>
  <c r="E738" i="4" s="1"/>
  <c r="H749" i="4"/>
  <c r="G761" i="4"/>
  <c r="E761" i="4" s="1"/>
  <c r="H773" i="4"/>
  <c r="H785" i="4"/>
  <c r="G797" i="4"/>
  <c r="E797" i="4" s="1"/>
  <c r="H803" i="4"/>
  <c r="H821" i="4"/>
  <c r="G827" i="4"/>
  <c r="E827" i="4" s="1"/>
  <c r="G833" i="4"/>
  <c r="E833" i="4" s="1"/>
  <c r="H839" i="4"/>
  <c r="G845" i="4"/>
  <c r="E845" i="4" s="1"/>
  <c r="H858" i="4"/>
  <c r="H864" i="4"/>
  <c r="G870" i="4"/>
  <c r="E870" i="4" s="1"/>
  <c r="G876" i="4"/>
  <c r="E876" i="4" s="1"/>
  <c r="H882" i="4"/>
  <c r="H888" i="4"/>
  <c r="H894" i="4"/>
  <c r="H900" i="4"/>
  <c r="G911" i="4"/>
  <c r="E911" i="4" s="1"/>
  <c r="H923" i="4"/>
  <c r="H935" i="4"/>
  <c r="H947" i="4"/>
  <c r="H959" i="4"/>
  <c r="G1151" i="4"/>
  <c r="E1151" i="4" s="1"/>
  <c r="G1157" i="4"/>
  <c r="E1157" i="4" s="1"/>
  <c r="H1247" i="4"/>
  <c r="G1409" i="4"/>
  <c r="E1409" i="4" s="1"/>
  <c r="H1445" i="4"/>
  <c r="H1451" i="4"/>
  <c r="G1475" i="4"/>
  <c r="E1475" i="4" s="1"/>
  <c r="G1481" i="4"/>
  <c r="E1481" i="4" s="1"/>
  <c r="H1493" i="4"/>
  <c r="G1511" i="4"/>
  <c r="E1511" i="4" s="1"/>
  <c r="G1541" i="4"/>
  <c r="E1541" i="4" s="1"/>
  <c r="H1553" i="4"/>
  <c r="G1559" i="4"/>
  <c r="E1559" i="4" s="1"/>
  <c r="H1565" i="4"/>
  <c r="G1583" i="4"/>
  <c r="E1583" i="4" s="1"/>
  <c r="G1613" i="4"/>
  <c r="E1613" i="4" s="1"/>
  <c r="G1619" i="4"/>
  <c r="E1619" i="4" s="1"/>
  <c r="H1625" i="4"/>
  <c r="G1637" i="4"/>
  <c r="E1637" i="4" s="1"/>
  <c r="G1643" i="4"/>
  <c r="E1643" i="4" s="1"/>
  <c r="G1649" i="4"/>
  <c r="E1649" i="4" s="1"/>
  <c r="H1655" i="4"/>
  <c r="H1661" i="4"/>
  <c r="H1673" i="4"/>
  <c r="H1679" i="4"/>
  <c r="H1685" i="4"/>
  <c r="H1691" i="4"/>
  <c r="G1697" i="4"/>
  <c r="E1697" i="4" s="1"/>
  <c r="G1715" i="4"/>
  <c r="E1715" i="4" s="1"/>
  <c r="G1739" i="4"/>
  <c r="E1739" i="4" s="1"/>
  <c r="G1763" i="4"/>
  <c r="E1763" i="4" s="1"/>
  <c r="H1805" i="4"/>
  <c r="H1811" i="4"/>
  <c r="H1817" i="4"/>
  <c r="H1823" i="4"/>
  <c r="H1835" i="4"/>
  <c r="H1853" i="4"/>
  <c r="H1865" i="4"/>
  <c r="G1877" i="4"/>
  <c r="E1877" i="4" s="1"/>
  <c r="G1883" i="4"/>
  <c r="E1883" i="4" s="1"/>
  <c r="H1901" i="4"/>
  <c r="G1913" i="4"/>
  <c r="E1913" i="4" s="1"/>
  <c r="H1925" i="4"/>
  <c r="G1931" i="4"/>
  <c r="E1931" i="4" s="1"/>
  <c r="G1955" i="4"/>
  <c r="E1955" i="4" s="1"/>
  <c r="G1961" i="4"/>
  <c r="E1961" i="4" s="1"/>
  <c r="G1967" i="4"/>
  <c r="E1967" i="4" s="1"/>
  <c r="H1973" i="4"/>
  <c r="H1979" i="4"/>
  <c r="G1985" i="4"/>
  <c r="E1985" i="4" s="1"/>
  <c r="H1991" i="4"/>
  <c r="G1997" i="4"/>
  <c r="E1997" i="4" s="1"/>
  <c r="H2003" i="4"/>
  <c r="H2009" i="4"/>
  <c r="H2147" i="4"/>
  <c r="G2231" i="4"/>
  <c r="E2231" i="4" s="1"/>
  <c r="G2273" i="4"/>
  <c r="E2273" i="4" s="1"/>
  <c r="H2297" i="4"/>
  <c r="G2321" i="4"/>
  <c r="E2321" i="4" s="1"/>
  <c r="H2333" i="4"/>
  <c r="H2375" i="4"/>
  <c r="G2423" i="4"/>
  <c r="E2423" i="4" s="1"/>
  <c r="H2453" i="4"/>
  <c r="G2471" i="4"/>
  <c r="E2471" i="4" s="1"/>
  <c r="H2560" i="4"/>
  <c r="H2602" i="4"/>
  <c r="G2644" i="4"/>
  <c r="E2644" i="4" s="1"/>
  <c r="H2673" i="4"/>
  <c r="G2697" i="4"/>
  <c r="E2697" i="4" s="1"/>
  <c r="G2709" i="4"/>
  <c r="E2709" i="4" s="1"/>
  <c r="G2715" i="4"/>
  <c r="E2715" i="4" s="1"/>
  <c r="G2727" i="4"/>
  <c r="E2727" i="4" s="1"/>
  <c r="G2739" i="4"/>
  <c r="E2739" i="4" s="1"/>
  <c r="G2745" i="4"/>
  <c r="E2745" i="4" s="1"/>
  <c r="G2751" i="4"/>
  <c r="E2751" i="4" s="1"/>
  <c r="G2763" i="4"/>
  <c r="E2763" i="4" s="1"/>
  <c r="H2769" i="4"/>
  <c r="H123" i="4"/>
  <c r="H7" i="4"/>
  <c r="H25" i="4"/>
  <c r="H49" i="4"/>
  <c r="H61" i="4"/>
  <c r="H85" i="4"/>
  <c r="H103" i="4"/>
  <c r="H151" i="4"/>
  <c r="G169" i="4"/>
  <c r="E169" i="4" s="1"/>
  <c r="H193" i="4"/>
  <c r="H211" i="4"/>
  <c r="H223" i="4"/>
  <c r="H235" i="4"/>
  <c r="H247" i="4"/>
  <c r="H265" i="4"/>
  <c r="G271" i="4"/>
  <c r="E271" i="4" s="1"/>
  <c r="H283" i="4"/>
  <c r="H289" i="4"/>
  <c r="H301" i="4"/>
  <c r="H307" i="4"/>
  <c r="H319" i="4"/>
  <c r="H367" i="4"/>
  <c r="G379" i="4"/>
  <c r="E379" i="4" s="1"/>
  <c r="H457" i="4"/>
  <c r="H463" i="4"/>
  <c r="G511" i="4"/>
  <c r="E511" i="4" s="1"/>
  <c r="H523" i="4"/>
  <c r="G535" i="4"/>
  <c r="E535" i="4" s="1"/>
  <c r="H553" i="4"/>
  <c r="H559" i="4"/>
  <c r="H679" i="4"/>
  <c r="H691" i="4"/>
  <c r="H697" i="4"/>
  <c r="H871" i="4"/>
  <c r="G877" i="4"/>
  <c r="E877" i="4" s="1"/>
  <c r="H883" i="4"/>
  <c r="H889" i="4"/>
  <c r="G895" i="4"/>
  <c r="E895" i="4" s="1"/>
  <c r="G966" i="4"/>
  <c r="E966" i="4" s="1"/>
  <c r="G1092" i="4"/>
  <c r="E1092" i="4" s="1"/>
  <c r="H1110" i="4"/>
  <c r="G1116" i="4"/>
  <c r="E1116" i="4" s="1"/>
  <c r="H1122" i="4"/>
  <c r="G1128" i="4"/>
  <c r="E1128" i="4" s="1"/>
  <c r="H1134" i="4"/>
  <c r="G1140" i="4"/>
  <c r="E1140" i="4" s="1"/>
  <c r="G1266" i="4"/>
  <c r="E1266" i="4" s="1"/>
  <c r="G1272" i="4"/>
  <c r="E1272" i="4" s="1"/>
  <c r="H1278" i="4"/>
  <c r="H1284" i="4"/>
  <c r="G1428" i="4"/>
  <c r="E1428" i="4" s="1"/>
  <c r="H1452" i="4"/>
  <c r="H1494" i="4"/>
  <c r="G1512" i="4"/>
  <c r="E1512" i="4" s="1"/>
  <c r="G1518" i="4"/>
  <c r="E1518" i="4" s="1"/>
  <c r="G1530" i="4"/>
  <c r="E1530" i="4" s="1"/>
  <c r="G1536" i="4"/>
  <c r="E1536" i="4" s="1"/>
  <c r="G1542" i="4"/>
  <c r="E1542" i="4" s="1"/>
  <c r="G1566" i="4"/>
  <c r="E1566" i="4" s="1"/>
  <c r="H1578" i="4"/>
  <c r="H1590" i="4"/>
  <c r="H1704" i="4"/>
  <c r="H1716" i="4"/>
  <c r="H1722" i="4"/>
  <c r="H1746" i="4"/>
  <c r="G1770" i="4"/>
  <c r="E1770" i="4" s="1"/>
  <c r="H1794" i="4"/>
  <c r="H1806" i="4"/>
  <c r="G1812" i="4"/>
  <c r="E1812" i="4" s="1"/>
  <c r="H1902" i="4"/>
  <c r="H1908" i="4"/>
  <c r="H2052" i="4"/>
  <c r="G2076" i="4"/>
  <c r="E2076" i="4" s="1"/>
  <c r="G2100" i="4"/>
  <c r="E2100" i="4" s="1"/>
  <c r="H2118" i="4"/>
  <c r="G2424" i="4"/>
  <c r="E2424" i="4" s="1"/>
  <c r="G2483" i="4"/>
  <c r="E2483" i="4" s="1"/>
  <c r="H2507" i="4"/>
  <c r="H2615" i="4"/>
  <c r="H99" i="4"/>
  <c r="G201" i="4"/>
  <c r="E201" i="4" s="1"/>
  <c r="G363" i="4"/>
  <c r="E363" i="4" s="1"/>
  <c r="H13" i="4"/>
  <c r="G31" i="4"/>
  <c r="E31" i="4" s="1"/>
  <c r="H55" i="4"/>
  <c r="H73" i="4"/>
  <c r="H79" i="4"/>
  <c r="H91" i="4"/>
  <c r="H97" i="4"/>
  <c r="H109" i="4"/>
  <c r="G115" i="4"/>
  <c r="E115" i="4" s="1"/>
  <c r="H121" i="4"/>
  <c r="H127" i="4"/>
  <c r="G133" i="4"/>
  <c r="E133" i="4" s="1"/>
  <c r="H139" i="4"/>
  <c r="G145" i="4"/>
  <c r="E145" i="4" s="1"/>
  <c r="G157" i="4"/>
  <c r="E157" i="4" s="1"/>
  <c r="H163" i="4"/>
  <c r="H175" i="4"/>
  <c r="H181" i="4"/>
  <c r="H187" i="4"/>
  <c r="G199" i="4"/>
  <c r="E199" i="4" s="1"/>
  <c r="G205" i="4"/>
  <c r="E205" i="4" s="1"/>
  <c r="H217" i="4"/>
  <c r="G229" i="4"/>
  <c r="E229" i="4" s="1"/>
  <c r="H241" i="4"/>
  <c r="H253" i="4"/>
  <c r="G259" i="4"/>
  <c r="E259" i="4" s="1"/>
  <c r="G355" i="4"/>
  <c r="E355" i="4" s="1"/>
  <c r="G391" i="4"/>
  <c r="E391" i="4" s="1"/>
  <c r="G403" i="4"/>
  <c r="E403" i="4" s="1"/>
  <c r="G415" i="4"/>
  <c r="E415" i="4" s="1"/>
  <c r="H117" i="4"/>
  <c r="G19" i="4"/>
  <c r="E19" i="4" s="1"/>
  <c r="H43" i="4"/>
  <c r="H67" i="4"/>
  <c r="H188" i="4"/>
  <c r="H236" i="4"/>
  <c r="H248" i="4"/>
  <c r="G272" i="4"/>
  <c r="E272" i="4" s="1"/>
  <c r="G284" i="4"/>
  <c r="E284" i="4" s="1"/>
  <c r="H314" i="4"/>
  <c r="G326" i="4"/>
  <c r="E326" i="4" s="1"/>
  <c r="G344" i="4"/>
  <c r="E344" i="4" s="1"/>
  <c r="G350" i="4"/>
  <c r="E350" i="4" s="1"/>
  <c r="G458" i="4"/>
  <c r="E458" i="4" s="1"/>
  <c r="H464" i="4"/>
  <c r="H488" i="4"/>
  <c r="H506" i="4"/>
  <c r="H536" i="4"/>
  <c r="H674" i="4"/>
  <c r="G692" i="4"/>
  <c r="E692" i="4" s="1"/>
  <c r="H716" i="4"/>
  <c r="H722" i="4"/>
  <c r="H728" i="4"/>
  <c r="G763" i="4"/>
  <c r="E763" i="4" s="1"/>
  <c r="G769" i="4"/>
  <c r="E769" i="4" s="1"/>
  <c r="H775" i="4"/>
  <c r="G781" i="4"/>
  <c r="E781" i="4" s="1"/>
  <c r="G787" i="4"/>
  <c r="E787" i="4" s="1"/>
  <c r="G872" i="4"/>
  <c r="E872" i="4" s="1"/>
  <c r="H878" i="4"/>
  <c r="H884" i="4"/>
  <c r="G890" i="4"/>
  <c r="E890" i="4" s="1"/>
  <c r="H896" i="4"/>
  <c r="G1147" i="4"/>
  <c r="E1147" i="4" s="1"/>
  <c r="H1153" i="4"/>
  <c r="G1177" i="4"/>
  <c r="E1177" i="4" s="1"/>
  <c r="H1231" i="4"/>
  <c r="G1255" i="4"/>
  <c r="E1255" i="4" s="1"/>
  <c r="G1393" i="4"/>
  <c r="E1393" i="4" s="1"/>
  <c r="H1405" i="4"/>
  <c r="G1429" i="4"/>
  <c r="E1429" i="4" s="1"/>
  <c r="H1441" i="4"/>
  <c r="H1465" i="4"/>
  <c r="G1471" i="4"/>
  <c r="E1471" i="4" s="1"/>
  <c r="H1483" i="4"/>
  <c r="H1489" i="4"/>
  <c r="H1495" i="4"/>
  <c r="G1501" i="4"/>
  <c r="E1501" i="4" s="1"/>
  <c r="G1513" i="4"/>
  <c r="E1513" i="4" s="1"/>
  <c r="H1519" i="4"/>
  <c r="G1549" i="4"/>
  <c r="E1549" i="4" s="1"/>
  <c r="H1579" i="4"/>
  <c r="G1597" i="4"/>
  <c r="E1597" i="4" s="1"/>
  <c r="H1603" i="4"/>
  <c r="H1615" i="4"/>
  <c r="H1621" i="4"/>
  <c r="H1633" i="4"/>
  <c r="H1639" i="4"/>
  <c r="H1645" i="4"/>
  <c r="H1651" i="4"/>
  <c r="G1657" i="4"/>
  <c r="E1657" i="4" s="1"/>
  <c r="G1663" i="4"/>
  <c r="E1663" i="4" s="1"/>
  <c r="H1669" i="4"/>
  <c r="H1675" i="4"/>
  <c r="H1681" i="4"/>
  <c r="H1687" i="4"/>
  <c r="H1693" i="4"/>
  <c r="G1711" i="4"/>
  <c r="E1711" i="4" s="1"/>
  <c r="G1717" i="4"/>
  <c r="E1717" i="4" s="1"/>
  <c r="H1729" i="4"/>
  <c r="H1735" i="4"/>
  <c r="G1741" i="4"/>
  <c r="E1741" i="4" s="1"/>
  <c r="H1759" i="4"/>
  <c r="G1765" i="4"/>
  <c r="E1765" i="4" s="1"/>
  <c r="G1783" i="4"/>
  <c r="E1783" i="4" s="1"/>
  <c r="H1879" i="4"/>
  <c r="H1891" i="4"/>
  <c r="H1933" i="4"/>
  <c r="G1951" i="4"/>
  <c r="E1951" i="4" s="1"/>
  <c r="H1957" i="4"/>
  <c r="H1963" i="4"/>
  <c r="G1969" i="4"/>
  <c r="E1969" i="4" s="1"/>
  <c r="G1975" i="4"/>
  <c r="E1975" i="4" s="1"/>
  <c r="G1981" i="4"/>
  <c r="E1981" i="4" s="1"/>
  <c r="G1987" i="4"/>
  <c r="E1987" i="4" s="1"/>
  <c r="H1993" i="4"/>
  <c r="G1999" i="4"/>
  <c r="E1999" i="4" s="1"/>
  <c r="H2005" i="4"/>
  <c r="G2011" i="4"/>
  <c r="E2011" i="4" s="1"/>
  <c r="G2119" i="4"/>
  <c r="E2119" i="4" s="1"/>
  <c r="G2125" i="4"/>
  <c r="E2125" i="4" s="1"/>
  <c r="H2137" i="4"/>
  <c r="G2143" i="4"/>
  <c r="E2143" i="4" s="1"/>
  <c r="G2149" i="4"/>
  <c r="E2149" i="4" s="1"/>
  <c r="G2155" i="4"/>
  <c r="E2155" i="4" s="1"/>
  <c r="G2161" i="4"/>
  <c r="E2161" i="4" s="1"/>
  <c r="G2173" i="4"/>
  <c r="E2173" i="4" s="1"/>
  <c r="H2233" i="4"/>
  <c r="H2245" i="4"/>
  <c r="H2257" i="4"/>
  <c r="H2275" i="4"/>
  <c r="H2281" i="4"/>
  <c r="G2305" i="4"/>
  <c r="E2305" i="4" s="1"/>
  <c r="G2329" i="4"/>
  <c r="E2329" i="4" s="1"/>
  <c r="H2407" i="4"/>
  <c r="H2419" i="4"/>
  <c r="H2425" i="4"/>
  <c r="G2461" i="4"/>
  <c r="E2461" i="4" s="1"/>
  <c r="G2550" i="4"/>
  <c r="E2550" i="4" s="1"/>
  <c r="H2574" i="4"/>
  <c r="H2640" i="4"/>
  <c r="H2687" i="4"/>
  <c r="G2729" i="4"/>
  <c r="E2729" i="4" s="1"/>
  <c r="G2741" i="4"/>
  <c r="E2741" i="4" s="1"/>
  <c r="G2747" i="4"/>
  <c r="E2747" i="4" s="1"/>
  <c r="H2753" i="4"/>
  <c r="G2759" i="4"/>
  <c r="E2759" i="4" s="1"/>
  <c r="G2765" i="4"/>
  <c r="E2765" i="4" s="1"/>
  <c r="H2771" i="4"/>
  <c r="H87" i="4"/>
  <c r="H37" i="4"/>
  <c r="H140" i="4"/>
  <c r="G164" i="4"/>
  <c r="E164" i="4" s="1"/>
  <c r="H212" i="4"/>
  <c r="H260" i="4"/>
  <c r="H302" i="4"/>
  <c r="H9" i="4"/>
  <c r="G15" i="4"/>
  <c r="E15" i="4" s="1"/>
  <c r="H21" i="4"/>
  <c r="H27" i="4"/>
  <c r="H33" i="4"/>
  <c r="H39" i="4"/>
  <c r="H45" i="4"/>
  <c r="G51" i="4"/>
  <c r="E51" i="4" s="1"/>
  <c r="H57" i="4"/>
  <c r="H63" i="4"/>
  <c r="H69" i="4"/>
  <c r="H75" i="4"/>
  <c r="H1056" i="4"/>
  <c r="G1068" i="4"/>
  <c r="E1068" i="4" s="1"/>
  <c r="H1086" i="4"/>
  <c r="H1070" i="4"/>
  <c r="H976" i="4"/>
  <c r="G988" i="4"/>
  <c r="E988" i="4" s="1"/>
  <c r="H1000" i="4"/>
  <c r="H1012" i="4"/>
  <c r="H1048" i="4"/>
  <c r="H1084" i="4"/>
  <c r="G971" i="4"/>
  <c r="E971" i="4" s="1"/>
  <c r="G983" i="4"/>
  <c r="E983" i="4" s="1"/>
  <c r="G1019" i="4"/>
  <c r="E1019" i="4" s="1"/>
  <c r="H995" i="4"/>
  <c r="G288" i="4"/>
  <c r="E288" i="4" s="1"/>
  <c r="G691" i="4"/>
  <c r="E691" i="4" s="1"/>
  <c r="G1817" i="4"/>
  <c r="E1817" i="4" s="1"/>
  <c r="G454" i="4"/>
  <c r="E454" i="4" s="1"/>
  <c r="G892" i="4"/>
  <c r="E892" i="4" s="1"/>
  <c r="G496" i="4"/>
  <c r="E496" i="4" s="1"/>
  <c r="H678" i="4"/>
  <c r="G1538" i="4"/>
  <c r="E1538" i="4" s="1"/>
  <c r="G1580" i="4"/>
  <c r="E1580" i="4" s="1"/>
  <c r="H1140" i="4"/>
  <c r="G1677" i="4"/>
  <c r="E1677" i="4" s="1"/>
  <c r="H2132" i="4"/>
  <c r="H1894" i="4"/>
  <c r="G1875" i="4"/>
  <c r="E1875" i="4" s="1"/>
  <c r="H1828" i="4"/>
  <c r="G1498" i="4"/>
  <c r="E1498" i="4" s="1"/>
  <c r="H598" i="4"/>
  <c r="H646" i="4"/>
  <c r="H877" i="4"/>
  <c r="H940" i="4"/>
  <c r="H1173" i="4"/>
  <c r="G1256" i="4"/>
  <c r="E1256" i="4" s="1"/>
  <c r="H1913" i="4"/>
  <c r="H1931" i="4"/>
  <c r="H333" i="4"/>
  <c r="H2483" i="4"/>
  <c r="H339" i="4"/>
  <c r="H807" i="4"/>
  <c r="G889" i="4"/>
  <c r="E889" i="4" s="1"/>
  <c r="G910" i="4"/>
  <c r="E910" i="4" s="1"/>
  <c r="H1683" i="4"/>
  <c r="G2331" i="4"/>
  <c r="E2331" i="4" s="1"/>
  <c r="G1436" i="4"/>
  <c r="E1436" i="4" s="1"/>
  <c r="H843" i="4"/>
  <c r="H1124" i="4"/>
  <c r="G1493" i="4"/>
  <c r="E1493" i="4" s="1"/>
  <c r="G297" i="4"/>
  <c r="E297" i="4" s="1"/>
  <c r="H911" i="4"/>
  <c r="H157" i="4"/>
  <c r="G699" i="4"/>
  <c r="E699" i="4" s="1"/>
  <c r="H988" i="4"/>
  <c r="G2013" i="4"/>
  <c r="E2013" i="4" s="1"/>
  <c r="H2428" i="4"/>
  <c r="H694" i="4"/>
  <c r="G1166" i="4"/>
  <c r="E1166" i="4" s="1"/>
  <c r="G1466" i="4"/>
  <c r="E1466" i="4" s="1"/>
  <c r="H1702" i="4"/>
  <c r="H205" i="4"/>
  <c r="H240" i="4"/>
  <c r="G442" i="4"/>
  <c r="E442" i="4" s="1"/>
  <c r="H666" i="4"/>
  <c r="H845" i="4"/>
  <c r="G1483" i="4"/>
  <c r="E1483" i="4" s="1"/>
  <c r="H1697" i="4"/>
  <c r="H1997" i="4"/>
  <c r="H2607" i="4"/>
  <c r="G1445" i="4"/>
  <c r="E1445" i="4" s="1"/>
  <c r="H1040" i="4"/>
  <c r="G1040" i="4"/>
  <c r="E1040" i="4" s="1"/>
  <c r="H1052" i="4"/>
  <c r="G1052" i="4"/>
  <c r="E1052" i="4" s="1"/>
  <c r="H1036" i="4"/>
  <c r="G1036" i="4"/>
  <c r="E1036" i="4" s="1"/>
  <c r="G1031" i="4"/>
  <c r="E1031" i="4" s="1"/>
  <c r="H1031" i="4"/>
  <c r="H1044" i="4"/>
  <c r="G1044" i="4"/>
  <c r="E1044" i="4" s="1"/>
  <c r="H2138" i="4"/>
  <c r="G1000" i="4"/>
  <c r="E1000" i="4" s="1"/>
  <c r="H1138" i="4"/>
  <c r="G1774" i="4"/>
  <c r="E1774" i="4" s="1"/>
  <c r="G783" i="4"/>
  <c r="E783" i="4" s="1"/>
  <c r="G858" i="4"/>
  <c r="E858" i="4" s="1"/>
  <c r="G899" i="4"/>
  <c r="E899" i="4" s="1"/>
  <c r="H1128" i="4"/>
  <c r="G1462" i="4"/>
  <c r="E1462" i="4" s="1"/>
  <c r="G1685" i="4"/>
  <c r="E1685" i="4" s="1"/>
  <c r="H1717" i="4"/>
  <c r="H1989" i="4"/>
  <c r="G2419" i="4"/>
  <c r="E2419" i="4" s="1"/>
  <c r="G2499" i="4"/>
  <c r="E2499" i="4" s="1"/>
  <c r="H220" i="4"/>
  <c r="G874" i="4"/>
  <c r="E874" i="4" s="1"/>
  <c r="H1144" i="4"/>
  <c r="G1155" i="4"/>
  <c r="E1155" i="4" s="1"/>
  <c r="H1272" i="4"/>
  <c r="H216" i="4"/>
  <c r="G1278" i="4"/>
  <c r="E1278" i="4" s="1"/>
  <c r="G1669" i="4"/>
  <c r="E1669" i="4" s="1"/>
  <c r="H2373" i="4"/>
  <c r="G2540" i="4"/>
  <c r="E2540" i="4" s="1"/>
  <c r="H1078" i="4"/>
  <c r="H1042" i="4"/>
  <c r="G1653" i="4"/>
  <c r="E1653" i="4" s="1"/>
  <c r="G1979" i="4"/>
  <c r="E1979" i="4" s="1"/>
  <c r="H2150" i="4"/>
  <c r="G1056" i="4"/>
  <c r="E1056" i="4" s="1"/>
  <c r="H418" i="4"/>
  <c r="G463" i="4"/>
  <c r="E463" i="4" s="1"/>
  <c r="H1168" i="4"/>
  <c r="G161" i="4"/>
  <c r="E161" i="4" s="1"/>
  <c r="G871" i="4"/>
  <c r="E871" i="4" s="1"/>
  <c r="G891" i="4"/>
  <c r="E891" i="4" s="1"/>
  <c r="H229" i="4"/>
  <c r="H251" i="4"/>
  <c r="H430" i="4"/>
  <c r="H534" i="4"/>
  <c r="G785" i="4"/>
  <c r="E785" i="4" s="1"/>
  <c r="G831" i="4"/>
  <c r="E831" i="4" s="1"/>
  <c r="H928" i="4"/>
  <c r="G1432" i="4"/>
  <c r="E1432" i="4" s="1"/>
  <c r="G1437" i="4"/>
  <c r="E1437" i="4" s="1"/>
  <c r="H1511" i="4"/>
  <c r="G1522" i="4"/>
  <c r="E1522" i="4" s="1"/>
  <c r="H1783" i="4"/>
  <c r="H1062" i="4"/>
  <c r="H1050" i="4"/>
  <c r="G1835" i="4"/>
  <c r="E1835" i="4" s="1"/>
  <c r="G1060" i="4"/>
  <c r="E1060" i="4" s="1"/>
  <c r="G1024" i="4"/>
  <c r="E1024" i="4" s="1"/>
  <c r="H275" i="4"/>
  <c r="G1389" i="4"/>
  <c r="E1389" i="4" s="1"/>
  <c r="H1562" i="4"/>
  <c r="G1661" i="4"/>
  <c r="E1661" i="4" s="1"/>
  <c r="G821" i="4"/>
  <c r="E821" i="4" s="1"/>
  <c r="G1048" i="4"/>
  <c r="E1048" i="4" s="1"/>
  <c r="G1502" i="4"/>
  <c r="E1502" i="4" s="1"/>
  <c r="G1623" i="4"/>
  <c r="E1623" i="4" s="1"/>
  <c r="H868" i="4"/>
  <c r="H1076" i="4"/>
  <c r="H1461" i="4"/>
  <c r="G1590" i="4"/>
  <c r="E1590" i="4" s="1"/>
  <c r="H1613" i="4"/>
  <c r="G1704" i="4"/>
  <c r="E1704" i="4" s="1"/>
  <c r="H1955" i="4"/>
  <c r="H1977" i="4"/>
  <c r="G2615" i="4"/>
  <c r="E2615" i="4" s="1"/>
  <c r="H1007" i="4"/>
  <c r="G2526" i="4"/>
  <c r="E2526" i="4" s="1"/>
  <c r="H2526" i="4"/>
  <c r="G2586" i="4"/>
  <c r="E2586" i="4" s="1"/>
  <c r="H2586" i="4"/>
  <c r="H1877" i="4"/>
  <c r="H1893" i="4"/>
  <c r="G2118" i="4"/>
  <c r="E2118" i="4" s="1"/>
  <c r="H2176" i="4"/>
  <c r="H2321" i="4"/>
  <c r="G168" i="4"/>
  <c r="E168" i="4" s="1"/>
  <c r="G622" i="4"/>
  <c r="E622" i="4" s="1"/>
  <c r="H771" i="4"/>
  <c r="H797" i="4"/>
  <c r="G819" i="4"/>
  <c r="E819" i="4" s="1"/>
  <c r="H876" i="4"/>
  <c r="G880" i="4"/>
  <c r="E880" i="4" s="1"/>
  <c r="G1134" i="4"/>
  <c r="E1134" i="4" s="1"/>
  <c r="G1186" i="4"/>
  <c r="E1186" i="4" s="1"/>
  <c r="G1191" i="4"/>
  <c r="E1191" i="4" s="1"/>
  <c r="G1474" i="4"/>
  <c r="E1474" i="4" s="1"/>
  <c r="G1489" i="4"/>
  <c r="E1489" i="4" s="1"/>
  <c r="G1645" i="4"/>
  <c r="E1645" i="4" s="1"/>
  <c r="G1805" i="4"/>
  <c r="E1805" i="4" s="1"/>
  <c r="G1973" i="4"/>
  <c r="E1973" i="4" s="1"/>
  <c r="G2003" i="4"/>
  <c r="E2003" i="4" s="1"/>
  <c r="G2188" i="4"/>
  <c r="E2188" i="4" s="1"/>
  <c r="G2551" i="4"/>
  <c r="E2551" i="4" s="1"/>
  <c r="G716" i="4"/>
  <c r="E716" i="4" s="1"/>
  <c r="G916" i="4"/>
  <c r="E916" i="4" s="1"/>
  <c r="G1149" i="4"/>
  <c r="E1149" i="4" s="1"/>
  <c r="H155" i="4"/>
  <c r="G196" i="4"/>
  <c r="E196" i="4" s="1"/>
  <c r="G464" i="4"/>
  <c r="E464" i="4" s="1"/>
  <c r="H535" i="4"/>
  <c r="G712" i="4"/>
  <c r="E712" i="4" s="1"/>
  <c r="G1407" i="4"/>
  <c r="E1407" i="4" s="1"/>
  <c r="H1428" i="4"/>
  <c r="H1490" i="4"/>
  <c r="G1527" i="4"/>
  <c r="E1527" i="4" s="1"/>
  <c r="H1637" i="4"/>
  <c r="G1681" i="4"/>
  <c r="E1681" i="4" s="1"/>
  <c r="G1695" i="4"/>
  <c r="E1695" i="4" s="1"/>
  <c r="G1823" i="4"/>
  <c r="E1823" i="4" s="1"/>
  <c r="H2644" i="4"/>
  <c r="H355" i="4"/>
  <c r="H525" i="4"/>
  <c r="H546" i="4"/>
  <c r="G556" i="4"/>
  <c r="E556" i="4" s="1"/>
  <c r="G773" i="4"/>
  <c r="E773" i="4" s="1"/>
  <c r="G894" i="4"/>
  <c r="E894" i="4" s="1"/>
  <c r="G1136" i="4"/>
  <c r="E1136" i="4" s="1"/>
  <c r="G1467" i="4"/>
  <c r="E1467" i="4" s="1"/>
  <c r="H1481" i="4"/>
  <c r="G1553" i="4"/>
  <c r="E1553" i="4" s="1"/>
  <c r="H1911" i="4"/>
  <c r="H1975" i="4"/>
  <c r="G2397" i="4"/>
  <c r="E2397" i="4" s="1"/>
  <c r="G2453" i="4"/>
  <c r="E2453" i="4" s="1"/>
  <c r="H2727" i="4"/>
  <c r="G1853" i="4"/>
  <c r="E1853" i="4" s="1"/>
  <c r="H1870" i="4"/>
  <c r="H1880" i="4"/>
  <c r="H1971" i="4"/>
  <c r="H2001" i="4"/>
  <c r="H2011" i="4"/>
  <c r="G574" i="4"/>
  <c r="E574" i="4" s="1"/>
  <c r="H747" i="4"/>
  <c r="G856" i="4"/>
  <c r="E856" i="4" s="1"/>
  <c r="H895" i="4"/>
  <c r="H1142" i="4"/>
  <c r="H1266" i="4"/>
  <c r="G1496" i="4"/>
  <c r="E1496" i="4" s="1"/>
  <c r="H1961" i="4"/>
  <c r="H1981" i="4"/>
  <c r="H2611" i="4"/>
  <c r="H396" i="4"/>
  <c r="H511" i="4"/>
  <c r="H879" i="4"/>
  <c r="H1108" i="4"/>
  <c r="H1419" i="4"/>
  <c r="G352" i="4"/>
  <c r="E352" i="4" s="1"/>
  <c r="H352" i="4"/>
  <c r="H392" i="4"/>
  <c r="H447" i="4"/>
  <c r="G531" i="4"/>
  <c r="E531" i="4" s="1"/>
  <c r="G295" i="4"/>
  <c r="E295" i="4" s="1"/>
  <c r="G422" i="4"/>
  <c r="E422" i="4" s="1"/>
  <c r="G144" i="4"/>
  <c r="E144" i="4" s="1"/>
  <c r="G264" i="4"/>
  <c r="E264" i="4" s="1"/>
  <c r="H264" i="4"/>
  <c r="G304" i="4"/>
  <c r="E304" i="4" s="1"/>
  <c r="H344" i="4"/>
  <c r="G373" i="4"/>
  <c r="E373" i="4" s="1"/>
  <c r="H373" i="4"/>
  <c r="G393" i="4"/>
  <c r="E393" i="4" s="1"/>
  <c r="G398" i="4"/>
  <c r="E398" i="4" s="1"/>
  <c r="G203" i="4"/>
  <c r="E203" i="4" s="1"/>
  <c r="H316" i="4"/>
  <c r="H340" i="4"/>
  <c r="H368" i="4"/>
  <c r="G428" i="4"/>
  <c r="E428" i="4" s="1"/>
  <c r="G501" i="4"/>
  <c r="E501" i="4" s="1"/>
  <c r="H501" i="4"/>
  <c r="H522" i="4"/>
  <c r="G522" i="4"/>
  <c r="E522" i="4" s="1"/>
  <c r="H384" i="4"/>
  <c r="H423" i="4"/>
  <c r="H309" i="4"/>
  <c r="G309" i="4"/>
  <c r="E309" i="4" s="1"/>
  <c r="H364" i="4"/>
  <c r="H369" i="4"/>
  <c r="H394" i="4"/>
  <c r="G394" i="4"/>
  <c r="E394" i="4" s="1"/>
  <c r="H450" i="4"/>
  <c r="G487" i="4"/>
  <c r="E487" i="4" s="1"/>
  <c r="H487" i="4"/>
  <c r="G375" i="4"/>
  <c r="E375" i="4" s="1"/>
  <c r="G539" i="4"/>
  <c r="E539" i="4" s="1"/>
  <c r="G386" i="4"/>
  <c r="E386" i="4" s="1"/>
  <c r="G410" i="4"/>
  <c r="E410" i="4" s="1"/>
  <c r="H508" i="4"/>
  <c r="G508" i="4"/>
  <c r="E508" i="4" s="1"/>
  <c r="G277" i="4"/>
  <c r="E277" i="4" s="1"/>
  <c r="H277" i="4"/>
  <c r="H227" i="4"/>
  <c r="G227" i="4"/>
  <c r="E227" i="4" s="1"/>
  <c r="H303" i="4"/>
  <c r="H376" i="4"/>
  <c r="H381" i="4"/>
  <c r="H308" i="4"/>
  <c r="H356" i="4"/>
  <c r="G452" i="4"/>
  <c r="E452" i="4" s="1"/>
  <c r="H504" i="4"/>
  <c r="H268" i="4"/>
  <c r="G268" i="4"/>
  <c r="E268" i="4" s="1"/>
  <c r="G372" i="4"/>
  <c r="E372" i="4" s="1"/>
  <c r="H406" i="4"/>
  <c r="G406" i="4"/>
  <c r="E406" i="4" s="1"/>
  <c r="H611" i="4"/>
  <c r="G617" i="4"/>
  <c r="E617" i="4" s="1"/>
  <c r="G742" i="4"/>
  <c r="E742" i="4" s="1"/>
  <c r="H770" i="4"/>
  <c r="G829" i="4"/>
  <c r="E829" i="4" s="1"/>
  <c r="G934" i="4"/>
  <c r="E934" i="4" s="1"/>
  <c r="G1035" i="4"/>
  <c r="E1035" i="4" s="1"/>
  <c r="H1063" i="4"/>
  <c r="H1079" i="4"/>
  <c r="G1115" i="4"/>
  <c r="E1115" i="4" s="1"/>
  <c r="G1146" i="4"/>
  <c r="E1146" i="4" s="1"/>
  <c r="G1160" i="4"/>
  <c r="E1160" i="4" s="1"/>
  <c r="G1225" i="4"/>
  <c r="E1225" i="4" s="1"/>
  <c r="G1236" i="4"/>
  <c r="E1236" i="4" s="1"/>
  <c r="G1252" i="4"/>
  <c r="E1252" i="4" s="1"/>
  <c r="G1257" i="4"/>
  <c r="E1257" i="4" s="1"/>
  <c r="G1297" i="4"/>
  <c r="E1297" i="4" s="1"/>
  <c r="H1302" i="4"/>
  <c r="H1307" i="4"/>
  <c r="H1318" i="4"/>
  <c r="H1328" i="4"/>
  <c r="G1360" i="4"/>
  <c r="E1360" i="4" s="1"/>
  <c r="H1381" i="4"/>
  <c r="H1515" i="4"/>
  <c r="G1520" i="4"/>
  <c r="E1520" i="4" s="1"/>
  <c r="H1568" i="4"/>
  <c r="H1801" i="4"/>
  <c r="G507" i="4"/>
  <c r="E507" i="4" s="1"/>
  <c r="H707" i="4"/>
  <c r="H343" i="4"/>
  <c r="H351" i="4"/>
  <c r="H380" i="4"/>
  <c r="H400" i="4"/>
  <c r="H405" i="4"/>
  <c r="H436" i="4"/>
  <c r="H441" i="4"/>
  <c r="G446" i="4"/>
  <c r="E446" i="4" s="1"/>
  <c r="G459" i="4"/>
  <c r="E459" i="4" s="1"/>
  <c r="G547" i="4"/>
  <c r="E547" i="4" s="1"/>
  <c r="H565" i="4"/>
  <c r="H587" i="4"/>
  <c r="G593" i="4"/>
  <c r="E593" i="4" s="1"/>
  <c r="H636" i="4"/>
  <c r="H660" i="4"/>
  <c r="H733" i="4"/>
  <c r="G816" i="4"/>
  <c r="E816" i="4" s="1"/>
  <c r="G919" i="4"/>
  <c r="E919" i="4" s="1"/>
  <c r="H924" i="4"/>
  <c r="G949" i="4"/>
  <c r="E949" i="4" s="1"/>
  <c r="G954" i="4"/>
  <c r="E954" i="4" s="1"/>
  <c r="H994" i="4"/>
  <c r="H1053" i="4"/>
  <c r="H1095" i="4"/>
  <c r="H1133" i="4"/>
  <c r="H1165" i="4"/>
  <c r="H1183" i="4"/>
  <c r="H1192" i="4"/>
  <c r="G1220" i="4"/>
  <c r="E1220" i="4" s="1"/>
  <c r="H1334" i="4"/>
  <c r="H1376" i="4"/>
  <c r="G1392" i="4"/>
  <c r="E1392" i="4" s="1"/>
  <c r="G1414" i="4"/>
  <c r="E1414" i="4" s="1"/>
  <c r="H1752" i="4"/>
  <c r="G1752" i="4"/>
  <c r="E1752" i="4" s="1"/>
  <c r="G579" i="4"/>
  <c r="E579" i="4" s="1"/>
  <c r="H608" i="4"/>
  <c r="H612" i="4"/>
  <c r="H632" i="4"/>
  <c r="H656" i="4"/>
  <c r="G687" i="4"/>
  <c r="E687" i="4" s="1"/>
  <c r="H708" i="4"/>
  <c r="G793" i="4"/>
  <c r="E793" i="4" s="1"/>
  <c r="G825" i="4"/>
  <c r="E825" i="4" s="1"/>
  <c r="G834" i="4"/>
  <c r="E834" i="4" s="1"/>
  <c r="H964" i="4"/>
  <c r="H1059" i="4"/>
  <c r="G1059" i="4"/>
  <c r="E1059" i="4" s="1"/>
  <c r="H1069" i="4"/>
  <c r="H1085" i="4"/>
  <c r="H1111" i="4"/>
  <c r="G1156" i="4"/>
  <c r="E1156" i="4" s="1"/>
  <c r="G1188" i="4"/>
  <c r="E1188" i="4" s="1"/>
  <c r="H1242" i="4"/>
  <c r="G1293" i="4"/>
  <c r="E1293" i="4" s="1"/>
  <c r="H1324" i="4"/>
  <c r="H1361" i="4"/>
  <c r="H1382" i="4"/>
  <c r="H1459" i="4"/>
  <c r="G1535" i="4"/>
  <c r="E1535" i="4" s="1"/>
  <c r="H1535" i="4"/>
  <c r="G1544" i="4"/>
  <c r="E1544" i="4" s="1"/>
  <c r="H1569" i="4"/>
  <c r="H1600" i="4"/>
  <c r="G1634" i="4"/>
  <c r="E1634" i="4" s="1"/>
  <c r="G1665" i="4"/>
  <c r="E1665" i="4" s="1"/>
  <c r="H1671" i="4"/>
  <c r="G1671" i="4"/>
  <c r="E1671" i="4" s="1"/>
  <c r="G1676" i="4"/>
  <c r="E1676" i="4" s="1"/>
  <c r="G1689" i="4"/>
  <c r="E1689" i="4" s="1"/>
  <c r="H1780" i="4"/>
  <c r="G1780" i="4"/>
  <c r="E1780" i="4" s="1"/>
  <c r="G1871" i="4"/>
  <c r="E1871" i="4" s="1"/>
  <c r="H1876" i="4"/>
  <c r="G1876" i="4"/>
  <c r="E1876" i="4" s="1"/>
  <c r="G469" i="4"/>
  <c r="E469" i="4" s="1"/>
  <c r="G584" i="4"/>
  <c r="E584" i="4" s="1"/>
  <c r="H588" i="4"/>
  <c r="G618" i="4"/>
  <c r="E618" i="4" s="1"/>
  <c r="H637" i="4"/>
  <c r="G642" i="4"/>
  <c r="E642" i="4" s="1"/>
  <c r="H661" i="4"/>
  <c r="G700" i="4"/>
  <c r="E700" i="4" s="1"/>
  <c r="G704" i="4"/>
  <c r="E704" i="4" s="1"/>
  <c r="H758" i="4"/>
  <c r="H780" i="4"/>
  <c r="H859" i="4"/>
  <c r="H906" i="4"/>
  <c r="H925" i="4"/>
  <c r="H930" i="4"/>
  <c r="H970" i="4"/>
  <c r="H1026" i="4"/>
  <c r="G1026" i="4"/>
  <c r="E1026" i="4" s="1"/>
  <c r="G1091" i="4"/>
  <c r="E1091" i="4" s="1"/>
  <c r="H1101" i="4"/>
  <c r="G1170" i="4"/>
  <c r="E1170" i="4" s="1"/>
  <c r="H1248" i="4"/>
  <c r="G1283" i="4"/>
  <c r="E1283" i="4" s="1"/>
  <c r="G1367" i="4"/>
  <c r="E1367" i="4" s="1"/>
  <c r="H1372" i="4"/>
  <c r="G1435" i="4"/>
  <c r="E1435" i="4" s="1"/>
  <c r="H1545" i="4"/>
  <c r="H1555" i="4"/>
  <c r="H1595" i="4"/>
  <c r="G1595" i="4"/>
  <c r="E1595" i="4" s="1"/>
  <c r="G1666" i="4"/>
  <c r="E1666" i="4" s="1"/>
  <c r="H1928" i="4"/>
  <c r="G1995" i="4"/>
  <c r="E1995" i="4" s="1"/>
  <c r="H1995" i="4"/>
  <c r="G575" i="4"/>
  <c r="E575" i="4" s="1"/>
  <c r="G594" i="4"/>
  <c r="E594" i="4" s="1"/>
  <c r="G609" i="4"/>
  <c r="E609" i="4" s="1"/>
  <c r="H613" i="4"/>
  <c r="H623" i="4"/>
  <c r="G629" i="4"/>
  <c r="E629" i="4" s="1"/>
  <c r="G633" i="4"/>
  <c r="E633" i="4" s="1"/>
  <c r="G657" i="4"/>
  <c r="E657" i="4" s="1"/>
  <c r="G670" i="4"/>
  <c r="E670" i="4" s="1"/>
  <c r="G717" i="4"/>
  <c r="E717" i="4" s="1"/>
  <c r="G721" i="4"/>
  <c r="E721" i="4" s="1"/>
  <c r="H789" i="4"/>
  <c r="G817" i="4"/>
  <c r="E817" i="4" s="1"/>
  <c r="H840" i="4"/>
  <c r="G865" i="4"/>
  <c r="E865" i="4" s="1"/>
  <c r="H945" i="4"/>
  <c r="G985" i="4"/>
  <c r="E985" i="4" s="1"/>
  <c r="G1006" i="4"/>
  <c r="E1006" i="4" s="1"/>
  <c r="H1021" i="4"/>
  <c r="H1081" i="4"/>
  <c r="G1107" i="4"/>
  <c r="E1107" i="4" s="1"/>
  <c r="G1179" i="4"/>
  <c r="E1179" i="4" s="1"/>
  <c r="H1210" i="4"/>
  <c r="G1264" i="4"/>
  <c r="E1264" i="4" s="1"/>
  <c r="H1309" i="4"/>
  <c r="H1341" i="4"/>
  <c r="G1346" i="4"/>
  <c r="E1346" i="4" s="1"/>
  <c r="G1351" i="4"/>
  <c r="E1351" i="4" s="1"/>
  <c r="G1362" i="4"/>
  <c r="E1362" i="4" s="1"/>
  <c r="G1397" i="4"/>
  <c r="E1397" i="4" s="1"/>
  <c r="H1410" i="4"/>
  <c r="H1420" i="4"/>
  <c r="G1430" i="4"/>
  <c r="E1430" i="4" s="1"/>
  <c r="H1531" i="4"/>
  <c r="H1605" i="4"/>
  <c r="H1629" i="4"/>
  <c r="H1715" i="4"/>
  <c r="H1867" i="4"/>
  <c r="H1965" i="4"/>
  <c r="H492" i="4"/>
  <c r="H526" i="4"/>
  <c r="H589" i="4"/>
  <c r="H599" i="4"/>
  <c r="G605" i="4"/>
  <c r="E605" i="4" s="1"/>
  <c r="G647" i="4"/>
  <c r="E647" i="4" s="1"/>
  <c r="H735" i="4"/>
  <c r="G753" i="4"/>
  <c r="E753" i="4" s="1"/>
  <c r="G860" i="4"/>
  <c r="E860" i="4" s="1"/>
  <c r="G907" i="4"/>
  <c r="E907" i="4" s="1"/>
  <c r="H931" i="4"/>
  <c r="H936" i="4"/>
  <c r="G961" i="4"/>
  <c r="E961" i="4" s="1"/>
  <c r="H1045" i="4"/>
  <c r="G1097" i="4"/>
  <c r="E1097" i="4" s="1"/>
  <c r="H1148" i="4"/>
  <c r="H1185" i="4"/>
  <c r="H1294" i="4"/>
  <c r="H1304" i="4"/>
  <c r="H1472" i="4"/>
  <c r="H1556" i="4"/>
  <c r="H1667" i="4"/>
  <c r="G1667" i="4"/>
  <c r="E1667" i="4" s="1"/>
  <c r="G2255" i="4"/>
  <c r="E2255" i="4" s="1"/>
  <c r="H2255" i="4"/>
  <c r="H2587" i="4"/>
  <c r="G2587" i="4"/>
  <c r="E2587" i="4" s="1"/>
  <c r="H411" i="4"/>
  <c r="H813" i="4"/>
  <c r="H841" i="4"/>
  <c r="G946" i="4"/>
  <c r="E946" i="4" s="1"/>
  <c r="G1051" i="4"/>
  <c r="E1051" i="4" s="1"/>
  <c r="G1113" i="4"/>
  <c r="E1113" i="4" s="1"/>
  <c r="H1117" i="4"/>
  <c r="H1135" i="4"/>
  <c r="H1200" i="4"/>
  <c r="H1233" i="4"/>
  <c r="G1244" i="4"/>
  <c r="E1244" i="4" s="1"/>
  <c r="G1270" i="4"/>
  <c r="E1270" i="4" s="1"/>
  <c r="H1310" i="4"/>
  <c r="H1342" i="4"/>
  <c r="G1347" i="4"/>
  <c r="E1347" i="4" s="1"/>
  <c r="H1431" i="4"/>
  <c r="G1431" i="4"/>
  <c r="E1431" i="4" s="1"/>
  <c r="G1487" i="4"/>
  <c r="E1487" i="4" s="1"/>
  <c r="G1500" i="4"/>
  <c r="E1500" i="4" s="1"/>
  <c r="H1591" i="4"/>
  <c r="G1591" i="4"/>
  <c r="E1591" i="4" s="1"/>
  <c r="H1696" i="4"/>
  <c r="H1776" i="4"/>
  <c r="G1776" i="4"/>
  <c r="E1776" i="4" s="1"/>
  <c r="G1798" i="4"/>
  <c r="E1798" i="4" s="1"/>
  <c r="H1798" i="4"/>
  <c r="H1829" i="4"/>
  <c r="G1829" i="4"/>
  <c r="E1829" i="4" s="1"/>
  <c r="G1863" i="4"/>
  <c r="E1863" i="4" s="1"/>
  <c r="H2163" i="4"/>
  <c r="G361" i="4"/>
  <c r="E361" i="4" s="1"/>
  <c r="H470" i="4"/>
  <c r="G563" i="4"/>
  <c r="E563" i="4" s="1"/>
  <c r="G585" i="4"/>
  <c r="E585" i="4" s="1"/>
  <c r="G653" i="4"/>
  <c r="E653" i="4" s="1"/>
  <c r="H465" i="4"/>
  <c r="H474" i="4"/>
  <c r="G518" i="4"/>
  <c r="E518" i="4" s="1"/>
  <c r="G576" i="4"/>
  <c r="E576" i="4" s="1"/>
  <c r="G581" i="4"/>
  <c r="E581" i="4" s="1"/>
  <c r="H620" i="4"/>
  <c r="G644" i="4"/>
  <c r="E644" i="4" s="1"/>
  <c r="H714" i="4"/>
  <c r="G730" i="4"/>
  <c r="E730" i="4" s="1"/>
  <c r="H937" i="4"/>
  <c r="H942" i="4"/>
  <c r="G1012" i="4"/>
  <c r="E1012" i="4" s="1"/>
  <c r="H1061" i="4"/>
  <c r="H1087" i="4"/>
  <c r="H1103" i="4"/>
  <c r="H1158" i="4"/>
  <c r="G1176" i="4"/>
  <c r="E1176" i="4" s="1"/>
  <c r="H1217" i="4"/>
  <c r="G1260" i="4"/>
  <c r="E1260" i="4" s="1"/>
  <c r="H1300" i="4"/>
  <c r="G1321" i="4"/>
  <c r="E1321" i="4" s="1"/>
  <c r="H1326" i="4"/>
  <c r="H1331" i="4"/>
  <c r="G1581" i="4"/>
  <c r="E1581" i="4" s="1"/>
  <c r="H1607" i="4"/>
  <c r="G1607" i="4"/>
  <c r="E1607" i="4" s="1"/>
  <c r="H1631" i="4"/>
  <c r="G1631" i="4"/>
  <c r="E1631" i="4" s="1"/>
  <c r="G1650" i="4"/>
  <c r="E1650" i="4" s="1"/>
  <c r="H701" i="4"/>
  <c r="H710" i="4"/>
  <c r="G434" i="4"/>
  <c r="E434" i="4" s="1"/>
  <c r="H448" i="4"/>
  <c r="H453" i="4"/>
  <c r="G493" i="4"/>
  <c r="E493" i="4" s="1"/>
  <c r="H497" i="4"/>
  <c r="H684" i="4"/>
  <c r="H777" i="4"/>
  <c r="G822" i="4"/>
  <c r="E822" i="4" s="1"/>
  <c r="G382" i="4"/>
  <c r="E382" i="4" s="1"/>
  <c r="G387" i="4"/>
  <c r="E387" i="4" s="1"/>
  <c r="G416" i="4"/>
  <c r="E416" i="4" s="1"/>
  <c r="G420" i="4"/>
  <c r="E420" i="4" s="1"/>
  <c r="H479" i="4"/>
  <c r="G573" i="4"/>
  <c r="E573" i="4" s="1"/>
  <c r="H596" i="4"/>
  <c r="H625" i="4"/>
  <c r="H630" i="4"/>
  <c r="G668" i="4"/>
  <c r="E668" i="4" s="1"/>
  <c r="G671" i="4"/>
  <c r="E671" i="4" s="1"/>
  <c r="G676" i="4"/>
  <c r="E676" i="4" s="1"/>
  <c r="H698" i="4"/>
  <c r="G705" i="4"/>
  <c r="E705" i="4" s="1"/>
  <c r="H727" i="4"/>
  <c r="G759" i="4"/>
  <c r="E759" i="4" s="1"/>
  <c r="H782" i="4"/>
  <c r="H827" i="4"/>
  <c r="G886" i="4"/>
  <c r="E886" i="4" s="1"/>
  <c r="H912" i="4"/>
  <c r="G917" i="4"/>
  <c r="E917" i="4" s="1"/>
  <c r="H922" i="4"/>
  <c r="H966" i="4"/>
  <c r="H982" i="4"/>
  <c r="H1018" i="4"/>
  <c r="H1077" i="4"/>
  <c r="H1083" i="4"/>
  <c r="G1083" i="4"/>
  <c r="E1083" i="4" s="1"/>
  <c r="G1123" i="4"/>
  <c r="E1123" i="4" s="1"/>
  <c r="H1162" i="4"/>
  <c r="G1167" i="4"/>
  <c r="E1167" i="4" s="1"/>
  <c r="H1172" i="4"/>
  <c r="G1212" i="4"/>
  <c r="E1212" i="4" s="1"/>
  <c r="H1234" i="4"/>
  <c r="H1364" i="4"/>
  <c r="G1369" i="4"/>
  <c r="E1369" i="4" s="1"/>
  <c r="H1374" i="4"/>
  <c r="H1379" i="4"/>
  <c r="H1427" i="4"/>
  <c r="H1504" i="4"/>
  <c r="H1518" i="4"/>
  <c r="G1572" i="4"/>
  <c r="E1572" i="4" s="1"/>
  <c r="H1592" i="4"/>
  <c r="G1692" i="4"/>
  <c r="E1692" i="4" s="1"/>
  <c r="H1728" i="4"/>
  <c r="G1728" i="4"/>
  <c r="E1728" i="4" s="1"/>
  <c r="H1841" i="4"/>
  <c r="G1841" i="4"/>
  <c r="E1841" i="4" s="1"/>
  <c r="G131" i="4"/>
  <c r="E131" i="4" s="1"/>
  <c r="G172" i="4"/>
  <c r="E172" i="4" s="1"/>
  <c r="G292" i="4"/>
  <c r="E292" i="4" s="1"/>
  <c r="H337" i="4"/>
  <c r="H362" i="4"/>
  <c r="G374" i="4"/>
  <c r="E374" i="4" s="1"/>
  <c r="H412" i="4"/>
  <c r="H475" i="4"/>
  <c r="H528" i="4"/>
  <c r="H550" i="4"/>
  <c r="H568" i="4"/>
  <c r="H601" i="4"/>
  <c r="H606" i="4"/>
  <c r="G621" i="4"/>
  <c r="E621" i="4" s="1"/>
  <c r="G634" i="4"/>
  <c r="E634" i="4" s="1"/>
  <c r="H654" i="4"/>
  <c r="G658" i="4"/>
  <c r="E658" i="4" s="1"/>
  <c r="G679" i="4"/>
  <c r="E679" i="4" s="1"/>
  <c r="H685" i="4"/>
  <c r="G715" i="4"/>
  <c r="E715" i="4" s="1"/>
  <c r="G718" i="4"/>
  <c r="E718" i="4" s="1"/>
  <c r="G722" i="4"/>
  <c r="E722" i="4" s="1"/>
  <c r="G749" i="4"/>
  <c r="E749" i="4" s="1"/>
  <c r="G805" i="4"/>
  <c r="E805" i="4" s="1"/>
  <c r="H852" i="4"/>
  <c r="H870" i="4"/>
  <c r="G1190" i="4"/>
  <c r="E1190" i="4" s="1"/>
  <c r="H1218" i="4"/>
  <c r="H1240" i="4"/>
  <c r="G1276" i="4"/>
  <c r="E1276" i="4" s="1"/>
  <c r="H1285" i="4"/>
  <c r="G1317" i="4"/>
  <c r="E1317" i="4" s="1"/>
  <c r="H1353" i="4"/>
  <c r="H1399" i="4"/>
  <c r="G1422" i="4"/>
  <c r="E1422" i="4" s="1"/>
  <c r="G1451" i="4"/>
  <c r="E1451" i="4" s="1"/>
  <c r="H1542" i="4"/>
  <c r="H1558" i="4"/>
  <c r="H1566" i="4"/>
  <c r="G1582" i="4"/>
  <c r="E1582" i="4" s="1"/>
  <c r="H1597" i="4"/>
  <c r="G1655" i="4"/>
  <c r="E1655" i="4" s="1"/>
  <c r="G1673" i="4"/>
  <c r="E1673" i="4" s="1"/>
  <c r="G1815" i="4"/>
  <c r="E1815" i="4" s="1"/>
  <c r="G1836" i="4"/>
  <c r="E1836" i="4" s="1"/>
  <c r="H332" i="4"/>
  <c r="G370" i="4"/>
  <c r="E370" i="4" s="1"/>
  <c r="G408" i="4"/>
  <c r="E408" i="4" s="1"/>
  <c r="H435" i="4"/>
  <c r="G440" i="4"/>
  <c r="E440" i="4" s="1"/>
  <c r="G480" i="4"/>
  <c r="E480" i="4" s="1"/>
  <c r="G506" i="4"/>
  <c r="E506" i="4" s="1"/>
  <c r="G536" i="4"/>
  <c r="E536" i="4" s="1"/>
  <c r="H577" i="4"/>
  <c r="H582" i="4"/>
  <c r="G597" i="4"/>
  <c r="E597" i="4" s="1"/>
  <c r="G610" i="4"/>
  <c r="E610" i="4" s="1"/>
  <c r="G645" i="4"/>
  <c r="E645" i="4" s="1"/>
  <c r="H649" i="4"/>
  <c r="G736" i="4"/>
  <c r="E736" i="4" s="1"/>
  <c r="H746" i="4"/>
  <c r="H897" i="4"/>
  <c r="H901" i="4"/>
  <c r="G913" i="4"/>
  <c r="E913" i="4" s="1"/>
  <c r="G1043" i="4"/>
  <c r="E1043" i="4" s="1"/>
  <c r="H1145" i="4"/>
  <c r="G1281" i="4"/>
  <c r="E1281" i="4" s="1"/>
  <c r="H1359" i="4"/>
  <c r="G1380" i="4"/>
  <c r="E1380" i="4" s="1"/>
  <c r="G1543" i="4"/>
  <c r="E1543" i="4" s="1"/>
  <c r="H1543" i="4"/>
  <c r="H1567" i="4"/>
  <c r="G1598" i="4"/>
  <c r="E1598" i="4" s="1"/>
  <c r="H1627" i="4"/>
  <c r="G1627" i="4"/>
  <c r="E1627" i="4" s="1"/>
  <c r="G1642" i="4"/>
  <c r="E1642" i="4" s="1"/>
  <c r="G1674" i="4"/>
  <c r="E1674" i="4" s="1"/>
  <c r="G1750" i="4"/>
  <c r="E1750" i="4" s="1"/>
  <c r="G1905" i="4"/>
  <c r="E1905" i="4" s="1"/>
  <c r="G2123" i="4"/>
  <c r="E2123" i="4" s="1"/>
  <c r="G327" i="4"/>
  <c r="E327" i="4" s="1"/>
  <c r="H349" i="4"/>
  <c r="H424" i="4"/>
  <c r="H429" i="4"/>
  <c r="H438" i="4"/>
  <c r="H745" i="4"/>
  <c r="H768" i="4"/>
  <c r="H388" i="4"/>
  <c r="H404" i="4"/>
  <c r="H417" i="4"/>
  <c r="H426" i="4"/>
  <c r="H494" i="4"/>
  <c r="H524" i="4"/>
  <c r="H542" i="4"/>
  <c r="G569" i="4"/>
  <c r="E569" i="4" s="1"/>
  <c r="H635" i="4"/>
  <c r="G641" i="4"/>
  <c r="E641" i="4" s="1"/>
  <c r="H659" i="4"/>
  <c r="G723" i="4"/>
  <c r="E723" i="4" s="1"/>
  <c r="H756" i="4"/>
  <c r="G765" i="4"/>
  <c r="E765" i="4" s="1"/>
  <c r="G792" i="4"/>
  <c r="E792" i="4" s="1"/>
  <c r="H801" i="4"/>
  <c r="G806" i="4"/>
  <c r="E806" i="4" s="1"/>
  <c r="G810" i="4"/>
  <c r="E810" i="4" s="1"/>
  <c r="G847" i="4"/>
  <c r="E847" i="4" s="1"/>
  <c r="G853" i="4"/>
  <c r="E853" i="4" s="1"/>
  <c r="H918" i="4"/>
  <c r="G973" i="4"/>
  <c r="E973" i="4" s="1"/>
  <c r="H978" i="4"/>
  <c r="G1009" i="4"/>
  <c r="E1009" i="4" s="1"/>
  <c r="G1014" i="4"/>
  <c r="E1014" i="4" s="1"/>
  <c r="H1073" i="4"/>
  <c r="G1105" i="4"/>
  <c r="E1105" i="4" s="1"/>
  <c r="G1137" i="4"/>
  <c r="E1137" i="4" s="1"/>
  <c r="H1141" i="4"/>
  <c r="G1182" i="4"/>
  <c r="E1182" i="4" s="1"/>
  <c r="H1208" i="4"/>
  <c r="H1230" i="4"/>
  <c r="H1286" i="4"/>
  <c r="H1333" i="4"/>
  <c r="H1344" i="4"/>
  <c r="G1349" i="4"/>
  <c r="E1349" i="4" s="1"/>
  <c r="H1354" i="4"/>
  <c r="H1391" i="4"/>
  <c r="G1413" i="4"/>
  <c r="E1413" i="4" s="1"/>
  <c r="H1680" i="4"/>
  <c r="G1954" i="4"/>
  <c r="E1954" i="4" s="1"/>
  <c r="H1954" i="4"/>
  <c r="H2122" i="4"/>
  <c r="G2366" i="4"/>
  <c r="E2366" i="4" s="1"/>
  <c r="H2366" i="4"/>
  <c r="H2449" i="4"/>
  <c r="H2513" i="4"/>
  <c r="H2563" i="4"/>
  <c r="G2563" i="4"/>
  <c r="E2563" i="4" s="1"/>
  <c r="H2585" i="4"/>
  <c r="G2585" i="4"/>
  <c r="E2585" i="4" s="1"/>
  <c r="H997" i="4"/>
  <c r="H1002" i="4"/>
  <c r="G1002" i="4"/>
  <c r="E1002" i="4" s="1"/>
  <c r="G1067" i="4"/>
  <c r="E1067" i="4" s="1"/>
  <c r="H1071" i="4"/>
  <c r="H1109" i="4"/>
  <c r="G1152" i="4"/>
  <c r="E1152" i="4" s="1"/>
  <c r="H1178" i="4"/>
  <c r="H1216" i="4"/>
  <c r="H1226" i="4"/>
  <c r="G1241" i="4"/>
  <c r="E1241" i="4" s="1"/>
  <c r="H1246" i="4"/>
  <c r="G1269" i="4"/>
  <c r="E1269" i="4" s="1"/>
  <c r="H1273" i="4"/>
  <c r="G1282" i="4"/>
  <c r="E1282" i="4" s="1"/>
  <c r="H1295" i="4"/>
  <c r="G1314" i="4"/>
  <c r="E1314" i="4" s="1"/>
  <c r="G1323" i="4"/>
  <c r="E1323" i="4" s="1"/>
  <c r="G1327" i="4"/>
  <c r="E1327" i="4" s="1"/>
  <c r="H1337" i="4"/>
  <c r="H1355" i="4"/>
  <c r="H1366" i="4"/>
  <c r="G1370" i="4"/>
  <c r="E1370" i="4" s="1"/>
  <c r="G1384" i="4"/>
  <c r="E1384" i="4" s="1"/>
  <c r="H1421" i="4"/>
  <c r="G1460" i="4"/>
  <c r="E1460" i="4" s="1"/>
  <c r="G1534" i="4"/>
  <c r="E1534" i="4" s="1"/>
  <c r="G1594" i="4"/>
  <c r="E1594" i="4" s="1"/>
  <c r="G1602" i="4"/>
  <c r="E1602" i="4" s="1"/>
  <c r="G1793" i="4"/>
  <c r="E1793" i="4" s="1"/>
  <c r="G1819" i="4"/>
  <c r="E1819" i="4" s="1"/>
  <c r="G1833" i="4"/>
  <c r="E1833" i="4" s="1"/>
  <c r="G1845" i="4"/>
  <c r="E1845" i="4" s="1"/>
  <c r="H2185" i="4"/>
  <c r="G2185" i="4"/>
  <c r="E2185" i="4" s="1"/>
  <c r="G2317" i="4"/>
  <c r="E2317" i="4" s="1"/>
  <c r="G2547" i="4"/>
  <c r="E2547" i="4" s="1"/>
  <c r="H2757" i="4"/>
  <c r="G2757" i="4"/>
  <c r="E2757" i="4" s="1"/>
  <c r="G2508" i="4"/>
  <c r="E2508" i="4" s="1"/>
  <c r="G2536" i="4"/>
  <c r="E2536" i="4" s="1"/>
  <c r="H2536" i="4"/>
  <c r="H2597" i="4"/>
  <c r="G2597" i="4"/>
  <c r="E2597" i="4" s="1"/>
  <c r="H2635" i="4"/>
  <c r="G2669" i="4"/>
  <c r="E2669" i="4" s="1"/>
  <c r="H2751" i="4"/>
  <c r="G1164" i="4"/>
  <c r="E1164" i="4" s="1"/>
  <c r="H1171" i="4"/>
  <c r="G1196" i="4"/>
  <c r="E1196" i="4" s="1"/>
  <c r="H1201" i="4"/>
  <c r="H1222" i="4"/>
  <c r="H1232" i="4"/>
  <c r="H1265" i="4"/>
  <c r="H1274" i="4"/>
  <c r="H1292" i="4"/>
  <c r="H1296" i="4"/>
  <c r="H1319" i="4"/>
  <c r="G1338" i="4"/>
  <c r="E1338" i="4" s="1"/>
  <c r="G1343" i="4"/>
  <c r="E1343" i="4" s="1"/>
  <c r="G1371" i="4"/>
  <c r="E1371" i="4" s="1"/>
  <c r="G1375" i="4"/>
  <c r="E1375" i="4" s="1"/>
  <c r="H1385" i="4"/>
  <c r="G1390" i="4"/>
  <c r="E1390" i="4" s="1"/>
  <c r="H1443" i="4"/>
  <c r="G1644" i="4"/>
  <c r="E1644" i="4" s="1"/>
  <c r="H1648" i="4"/>
  <c r="G1682" i="4"/>
  <c r="E1682" i="4" s="1"/>
  <c r="G1686" i="4"/>
  <c r="E1686" i="4" s="1"/>
  <c r="H1789" i="4"/>
  <c r="H1803" i="4"/>
  <c r="G1807" i="4"/>
  <c r="E1807" i="4" s="1"/>
  <c r="G1859" i="4"/>
  <c r="E1859" i="4" s="1"/>
  <c r="G1872" i="4"/>
  <c r="E1872" i="4" s="1"/>
  <c r="H1999" i="4"/>
  <c r="H2575" i="4"/>
  <c r="G2575" i="4"/>
  <c r="E2575" i="4" s="1"/>
  <c r="H1640" i="4"/>
  <c r="G1652" i="4"/>
  <c r="E1652" i="4" s="1"/>
  <c r="H1656" i="4"/>
  <c r="G1690" i="4"/>
  <c r="E1690" i="4" s="1"/>
  <c r="G1694" i="4"/>
  <c r="E1694" i="4" s="1"/>
  <c r="H1855" i="4"/>
  <c r="H1864" i="4"/>
  <c r="H1950" i="4"/>
  <c r="G2074" i="4"/>
  <c r="E2074" i="4" s="1"/>
  <c r="H2159" i="4"/>
  <c r="G2368" i="4"/>
  <c r="E2368" i="4" s="1"/>
  <c r="H2515" i="4"/>
  <c r="G2515" i="4"/>
  <c r="E2515" i="4" s="1"/>
  <c r="H2598" i="4"/>
  <c r="G2598" i="4"/>
  <c r="E2598" i="4" s="1"/>
  <c r="H2718" i="4"/>
  <c r="H1119" i="4"/>
  <c r="H1127" i="4"/>
  <c r="G1131" i="4"/>
  <c r="E1131" i="4" s="1"/>
  <c r="H1161" i="4"/>
  <c r="H1202" i="4"/>
  <c r="G1228" i="4"/>
  <c r="E1228" i="4" s="1"/>
  <c r="H1238" i="4"/>
  <c r="G1275" i="4"/>
  <c r="E1275" i="4" s="1"/>
  <c r="H1279" i="4"/>
  <c r="H1287" i="4"/>
  <c r="G1301" i="4"/>
  <c r="E1301" i="4" s="1"/>
  <c r="H1305" i="4"/>
  <c r="H1316" i="4"/>
  <c r="H1320" i="4"/>
  <c r="H1348" i="4"/>
  <c r="H1352" i="4"/>
  <c r="H1357" i="4"/>
  <c r="G1386" i="4"/>
  <c r="E1386" i="4" s="1"/>
  <c r="G1398" i="4"/>
  <c r="E1398" i="4" s="1"/>
  <c r="G1473" i="4"/>
  <c r="E1473" i="4" s="1"/>
  <c r="H1539" i="4"/>
  <c r="G1552" i="4"/>
  <c r="E1552" i="4" s="1"/>
  <c r="H1574" i="4"/>
  <c r="G1612" i="4"/>
  <c r="E1612" i="4" s="1"/>
  <c r="H1616" i="4"/>
  <c r="G1620" i="4"/>
  <c r="E1620" i="4" s="1"/>
  <c r="H1624" i="4"/>
  <c r="G1636" i="4"/>
  <c r="E1636" i="4" s="1"/>
  <c r="G1660" i="4"/>
  <c r="E1660" i="4" s="1"/>
  <c r="H1664" i="4"/>
  <c r="G1821" i="4"/>
  <c r="E1821" i="4" s="1"/>
  <c r="G1851" i="4"/>
  <c r="E1851" i="4" s="1"/>
  <c r="G1869" i="4"/>
  <c r="E1869" i="4" s="1"/>
  <c r="G1906" i="4"/>
  <c r="E1906" i="4" s="1"/>
  <c r="G1991" i="4"/>
  <c r="E1991" i="4" s="1"/>
  <c r="G2114" i="4"/>
  <c r="E2114" i="4" s="1"/>
  <c r="H2135" i="4"/>
  <c r="H2267" i="4"/>
  <c r="G2267" i="4"/>
  <c r="E2267" i="4" s="1"/>
  <c r="H2543" i="4"/>
  <c r="G2609" i="4"/>
  <c r="E2609" i="4" s="1"/>
  <c r="H2609" i="4"/>
  <c r="G1448" i="4"/>
  <c r="E1448" i="4" s="1"/>
  <c r="H1548" i="4"/>
  <c r="G1587" i="4"/>
  <c r="E1587" i="4" s="1"/>
  <c r="G1599" i="4"/>
  <c r="E1599" i="4" s="1"/>
  <c r="G1604" i="4"/>
  <c r="E1604" i="4" s="1"/>
  <c r="H1608" i="4"/>
  <c r="G1628" i="4"/>
  <c r="E1628" i="4" s="1"/>
  <c r="H1632" i="4"/>
  <c r="G1668" i="4"/>
  <c r="E1668" i="4" s="1"/>
  <c r="H1672" i="4"/>
  <c r="G1675" i="4"/>
  <c r="E1675" i="4" s="1"/>
  <c r="G1679" i="4"/>
  <c r="E1679" i="4" s="1"/>
  <c r="H1707" i="4"/>
  <c r="H1739" i="4"/>
  <c r="H1763" i="4"/>
  <c r="H1781" i="4"/>
  <c r="H1812" i="4"/>
  <c r="H1830" i="4"/>
  <c r="H1846" i="4"/>
  <c r="H1860" i="4"/>
  <c r="H1884" i="4"/>
  <c r="H1940" i="4"/>
  <c r="G2009" i="4"/>
  <c r="E2009" i="4" s="1"/>
  <c r="H2058" i="4"/>
  <c r="H2098" i="4"/>
  <c r="H2538" i="4"/>
  <c r="G2538" i="4"/>
  <c r="E2538" i="4" s="1"/>
  <c r="H2625" i="4"/>
  <c r="G2625" i="4"/>
  <c r="E2625" i="4" s="1"/>
  <c r="H2660" i="4"/>
  <c r="H2707" i="4"/>
  <c r="H1055" i="4"/>
  <c r="H1089" i="4"/>
  <c r="G1089" i="4"/>
  <c r="E1089" i="4" s="1"/>
  <c r="H1093" i="4"/>
  <c r="G1139" i="4"/>
  <c r="E1139" i="4" s="1"/>
  <c r="H1154" i="4"/>
  <c r="G1180" i="4"/>
  <c r="E1180" i="4" s="1"/>
  <c r="G1189" i="4"/>
  <c r="E1189" i="4" s="1"/>
  <c r="H1224" i="4"/>
  <c r="H1262" i="4"/>
  <c r="H1271" i="4"/>
  <c r="G1280" i="4"/>
  <c r="E1280" i="4" s="1"/>
  <c r="G1288" i="4"/>
  <c r="E1288" i="4" s="1"/>
  <c r="H1306" i="4"/>
  <c r="H1311" i="4"/>
  <c r="G1325" i="4"/>
  <c r="E1325" i="4" s="1"/>
  <c r="H1329" i="4"/>
  <c r="H1340" i="4"/>
  <c r="H1358" i="4"/>
  <c r="H1368" i="4"/>
  <c r="H1387" i="4"/>
  <c r="G1423" i="4"/>
  <c r="E1423" i="4" s="1"/>
  <c r="G1482" i="4"/>
  <c r="E1482" i="4" s="1"/>
  <c r="G1570" i="4"/>
  <c r="E1570" i="4" s="1"/>
  <c r="H1703" i="4"/>
  <c r="G1795" i="4"/>
  <c r="E1795" i="4" s="1"/>
  <c r="H1809" i="4"/>
  <c r="G1839" i="4"/>
  <c r="E1839" i="4" s="1"/>
  <c r="G1889" i="4"/>
  <c r="E1889" i="4" s="1"/>
  <c r="H1983" i="4"/>
  <c r="G2171" i="4"/>
  <c r="E2171" i="4" s="1"/>
  <c r="G2291" i="4"/>
  <c r="E2291" i="4" s="1"/>
  <c r="G2489" i="4"/>
  <c r="E2489" i="4" s="1"/>
  <c r="G2572" i="4"/>
  <c r="E2572" i="4" s="1"/>
  <c r="H2572" i="4"/>
  <c r="H1791" i="4"/>
  <c r="H1827" i="4"/>
  <c r="H1831" i="4"/>
  <c r="H1843" i="4"/>
  <c r="G1847" i="4"/>
  <c r="E1847" i="4" s="1"/>
  <c r="H1852" i="4"/>
  <c r="G2082" i="4"/>
  <c r="E2082" i="4" s="1"/>
  <c r="H2458" i="4"/>
  <c r="H2468" i="4"/>
  <c r="G2468" i="4"/>
  <c r="E2468" i="4" s="1"/>
  <c r="H2527" i="4"/>
  <c r="G2527" i="4"/>
  <c r="E2527" i="4" s="1"/>
  <c r="H2539" i="4"/>
  <c r="G2539" i="4"/>
  <c r="E2539" i="4" s="1"/>
  <c r="H2561" i="4"/>
  <c r="G2561" i="4"/>
  <c r="E2561" i="4" s="1"/>
  <c r="H2621" i="4"/>
  <c r="G2621" i="4"/>
  <c r="E2621" i="4" s="1"/>
  <c r="H2761" i="4"/>
  <c r="G2761" i="4"/>
  <c r="E2761" i="4" s="1"/>
  <c r="G902" i="4"/>
  <c r="E902" i="4" s="1"/>
  <c r="G943" i="4"/>
  <c r="E943" i="4" s="1"/>
  <c r="H990" i="4"/>
  <c r="G1030" i="4"/>
  <c r="E1030" i="4" s="1"/>
  <c r="H1030" i="4"/>
  <c r="G1039" i="4"/>
  <c r="E1039" i="4" s="1"/>
  <c r="H1047" i="4"/>
  <c r="H1065" i="4"/>
  <c r="H1075" i="4"/>
  <c r="G1075" i="4"/>
  <c r="E1075" i="4" s="1"/>
  <c r="G1099" i="4"/>
  <c r="E1099" i="4" s="1"/>
  <c r="G1121" i="4"/>
  <c r="E1121" i="4" s="1"/>
  <c r="G1169" i="4"/>
  <c r="E1169" i="4" s="1"/>
  <c r="H1193" i="4"/>
  <c r="G1204" i="4"/>
  <c r="E1204" i="4" s="1"/>
  <c r="G1209" i="4"/>
  <c r="E1209" i="4" s="1"/>
  <c r="H1214" i="4"/>
  <c r="H1249" i="4"/>
  <c r="H1254" i="4"/>
  <c r="G1258" i="4"/>
  <c r="E1258" i="4" s="1"/>
  <c r="G1263" i="4"/>
  <c r="E1263" i="4" s="1"/>
  <c r="H1267" i="4"/>
  <c r="H1289" i="4"/>
  <c r="G1298" i="4"/>
  <c r="E1298" i="4" s="1"/>
  <c r="G1312" i="4"/>
  <c r="E1312" i="4" s="1"/>
  <c r="H1330" i="4"/>
  <c r="H1335" i="4"/>
  <c r="G1345" i="4"/>
  <c r="E1345" i="4" s="1"/>
  <c r="G1373" i="4"/>
  <c r="E1373" i="4" s="1"/>
  <c r="H1377" i="4"/>
  <c r="H1404" i="4"/>
  <c r="G1411" i="4"/>
  <c r="E1411" i="4" s="1"/>
  <c r="G1416" i="4"/>
  <c r="E1416" i="4" s="1"/>
  <c r="H1424" i="4"/>
  <c r="H1491" i="4"/>
  <c r="G1524" i="4"/>
  <c r="E1524" i="4" s="1"/>
  <c r="H1528" i="4"/>
  <c r="G1684" i="4"/>
  <c r="E1684" i="4" s="1"/>
  <c r="H1688" i="4"/>
  <c r="G1857" i="4"/>
  <c r="E1857" i="4" s="1"/>
  <c r="G1881" i="4"/>
  <c r="E1881" i="4" s="1"/>
  <c r="H2183" i="4"/>
  <c r="H2241" i="4"/>
  <c r="G2241" i="4"/>
  <c r="E2241" i="4" s="1"/>
  <c r="H2342" i="4"/>
  <c r="G2342" i="4"/>
  <c r="E2342" i="4" s="1"/>
  <c r="H2353" i="4"/>
  <c r="H2392" i="4"/>
  <c r="G2556" i="4"/>
  <c r="E2556" i="4" s="1"/>
  <c r="H2573" i="4"/>
  <c r="G2573" i="4"/>
  <c r="E2573" i="4" s="1"/>
  <c r="H2606" i="4"/>
  <c r="G2606" i="4"/>
  <c r="E2606" i="4" s="1"/>
  <c r="G1818" i="4"/>
  <c r="E1818" i="4" s="1"/>
  <c r="G2151" i="4"/>
  <c r="E2151" i="4" s="1"/>
  <c r="H2387" i="4"/>
  <c r="G2518" i="4"/>
  <c r="E2518" i="4" s="1"/>
  <c r="H2562" i="4"/>
  <c r="G2562" i="4"/>
  <c r="E2562" i="4" s="1"/>
  <c r="G2584" i="4"/>
  <c r="E2584" i="4" s="1"/>
  <c r="H2584" i="4"/>
  <c r="H2662" i="4"/>
  <c r="G2662" i="4"/>
  <c r="E2662" i="4" s="1"/>
  <c r="G2685" i="4"/>
  <c r="E2685" i="4" s="1"/>
  <c r="H2749" i="4"/>
  <c r="G2749" i="4"/>
  <c r="E2749" i="4" s="1"/>
  <c r="G958" i="4"/>
  <c r="E958" i="4" s="1"/>
  <c r="H1125" i="4"/>
  <c r="G1129" i="4"/>
  <c r="E1129" i="4" s="1"/>
  <c r="G1159" i="4"/>
  <c r="E1159" i="4" s="1"/>
  <c r="H1194" i="4"/>
  <c r="G1250" i="4"/>
  <c r="E1250" i="4" s="1"/>
  <c r="H1268" i="4"/>
  <c r="H1277" i="4"/>
  <c r="G1290" i="4"/>
  <c r="E1290" i="4" s="1"/>
  <c r="G1299" i="4"/>
  <c r="E1299" i="4" s="1"/>
  <c r="G1303" i="4"/>
  <c r="E1303" i="4" s="1"/>
  <c r="H1313" i="4"/>
  <c r="G1322" i="4"/>
  <c r="E1322" i="4" s="1"/>
  <c r="G1336" i="4"/>
  <c r="E1336" i="4" s="1"/>
  <c r="H1350" i="4"/>
  <c r="H1365" i="4"/>
  <c r="H1378" i="4"/>
  <c r="H1383" i="4"/>
  <c r="H1396" i="4"/>
  <c r="G1400" i="4"/>
  <c r="E1400" i="4" s="1"/>
  <c r="G1488" i="4"/>
  <c r="E1488" i="4" s="1"/>
  <c r="G1563" i="4"/>
  <c r="E1563" i="4" s="1"/>
  <c r="G1584" i="4"/>
  <c r="E1584" i="4" s="1"/>
  <c r="G1610" i="4"/>
  <c r="E1610" i="4" s="1"/>
  <c r="G1618" i="4"/>
  <c r="E1618" i="4" s="1"/>
  <c r="G1626" i="4"/>
  <c r="E1626" i="4" s="1"/>
  <c r="G1658" i="4"/>
  <c r="E1658" i="4" s="1"/>
  <c r="G1787" i="4"/>
  <c r="E1787" i="4" s="1"/>
  <c r="H1797" i="4"/>
  <c r="G1840" i="4"/>
  <c r="E1840" i="4" s="1"/>
  <c r="H1848" i="4"/>
  <c r="G1886" i="4"/>
  <c r="E1886" i="4" s="1"/>
  <c r="H1932" i="4"/>
  <c r="G2015" i="4"/>
  <c r="E2015" i="4" s="1"/>
  <c r="G2026" i="4"/>
  <c r="E2026" i="4" s="1"/>
  <c r="G2066" i="4"/>
  <c r="E2066" i="4" s="1"/>
  <c r="H2106" i="4"/>
  <c r="G2416" i="4"/>
  <c r="E2416" i="4" s="1"/>
  <c r="H2421" i="4"/>
  <c r="G2421" i="4"/>
  <c r="E2421" i="4" s="1"/>
  <c r="H2491" i="4"/>
  <c r="G2491" i="4"/>
  <c r="E2491" i="4" s="1"/>
  <c r="H2307" i="4"/>
  <c r="H2344" i="4"/>
  <c r="G2434" i="4"/>
  <c r="E2434" i="4" s="1"/>
  <c r="H2439" i="4"/>
  <c r="H2445" i="4"/>
  <c r="G2454" i="4"/>
  <c r="E2454" i="4" s="1"/>
  <c r="G2467" i="4"/>
  <c r="E2467" i="4" s="1"/>
  <c r="H2471" i="4"/>
  <c r="H2552" i="4"/>
  <c r="G2630" i="4"/>
  <c r="E2630" i="4" s="1"/>
  <c r="G2713" i="4"/>
  <c r="E2713" i="4" s="1"/>
  <c r="G2675" i="4"/>
  <c r="E2675" i="4" s="1"/>
  <c r="H2332" i="4"/>
  <c r="H2365" i="4"/>
  <c r="G2490" i="4"/>
  <c r="E2490" i="4" s="1"/>
  <c r="H2504" i="4"/>
  <c r="H2531" i="4"/>
  <c r="H2544" i="4"/>
  <c r="H2617" i="4"/>
  <c r="H2050" i="4"/>
  <c r="G2134" i="4"/>
  <c r="E2134" i="4" s="1"/>
  <c r="G2147" i="4"/>
  <c r="E2147" i="4" s="1"/>
  <c r="H2175" i="4"/>
  <c r="G2237" i="4"/>
  <c r="E2237" i="4" s="1"/>
  <c r="G2323" i="4"/>
  <c r="E2323" i="4" s="1"/>
  <c r="G2341" i="4"/>
  <c r="E2341" i="4" s="1"/>
  <c r="G2360" i="4"/>
  <c r="E2360" i="4" s="1"/>
  <c r="H2408" i="4"/>
  <c r="G2440" i="4"/>
  <c r="E2440" i="4" s="1"/>
  <c r="G2463" i="4"/>
  <c r="E2463" i="4" s="1"/>
  <c r="G2523" i="4"/>
  <c r="E2523" i="4" s="1"/>
  <c r="G2564" i="4"/>
  <c r="E2564" i="4" s="1"/>
  <c r="G2642" i="4"/>
  <c r="E2642" i="4" s="1"/>
  <c r="G2687" i="4"/>
  <c r="E2687" i="4" s="1"/>
  <c r="G2725" i="4"/>
  <c r="E2725" i="4" s="1"/>
  <c r="H2494" i="4"/>
  <c r="G2257" i="4"/>
  <c r="E2257" i="4" s="1"/>
  <c r="H2277" i="4"/>
  <c r="H2299" i="4"/>
  <c r="H2337" i="4"/>
  <c r="G2375" i="4"/>
  <c r="E2375" i="4" s="1"/>
  <c r="G2384" i="4"/>
  <c r="E2384" i="4" s="1"/>
  <c r="H2389" i="4"/>
  <c r="H2413" i="4"/>
  <c r="H2430" i="4"/>
  <c r="G2446" i="4"/>
  <c r="E2446" i="4" s="1"/>
  <c r="H2451" i="4"/>
  <c r="H2460" i="4"/>
  <c r="H2472" i="4"/>
  <c r="G2476" i="4"/>
  <c r="E2476" i="4" s="1"/>
  <c r="H2505" i="4"/>
  <c r="G2545" i="4"/>
  <c r="E2545" i="4" s="1"/>
  <c r="H2588" i="4"/>
  <c r="G2600" i="4"/>
  <c r="E2600" i="4" s="1"/>
  <c r="G2613" i="4"/>
  <c r="E2613" i="4" s="1"/>
  <c r="H2557" i="4"/>
  <c r="G2459" i="4"/>
  <c r="E2459" i="4" s="1"/>
  <c r="H2283" i="4"/>
  <c r="H2404" i="4"/>
  <c r="G2464" i="4"/>
  <c r="E2464" i="4" s="1"/>
  <c r="H2486" i="4"/>
  <c r="G2500" i="4"/>
  <c r="E2500" i="4" s="1"/>
  <c r="H2510" i="4"/>
  <c r="G2576" i="4"/>
  <c r="E2576" i="4" s="1"/>
  <c r="G2677" i="4"/>
  <c r="E2677" i="4" s="1"/>
  <c r="G2719" i="4"/>
  <c r="E2719" i="4" s="1"/>
  <c r="H2671" i="4"/>
  <c r="G2636" i="4"/>
  <c r="E2636" i="4" s="1"/>
  <c r="G2537" i="4"/>
  <c r="E2537" i="4" s="1"/>
  <c r="H2309" i="4"/>
  <c r="H2423" i="4"/>
  <c r="H2426" i="4"/>
  <c r="H2431" i="4"/>
  <c r="G2452" i="4"/>
  <c r="E2452" i="4" s="1"/>
  <c r="G2456" i="4"/>
  <c r="E2456" i="4" s="1"/>
  <c r="G2477" i="4"/>
  <c r="E2477" i="4" s="1"/>
  <c r="H2520" i="4"/>
  <c r="G2565" i="4"/>
  <c r="E2565" i="4" s="1"/>
  <c r="G2653" i="4"/>
  <c r="E2653" i="4" s="1"/>
  <c r="G2683" i="4"/>
  <c r="E2683" i="4" s="1"/>
  <c r="H2694" i="4"/>
  <c r="H2647" i="4"/>
  <c r="G2533" i="4"/>
  <c r="E2533" i="4" s="1"/>
  <c r="H2514" i="4"/>
  <c r="H2484" i="4"/>
  <c r="H1944" i="4"/>
  <c r="H2034" i="4"/>
  <c r="G2121" i="4"/>
  <c r="E2121" i="4" s="1"/>
  <c r="G2139" i="4"/>
  <c r="E2139" i="4" s="1"/>
  <c r="G2325" i="4"/>
  <c r="E2325" i="4" s="1"/>
  <c r="H2356" i="4"/>
  <c r="H2442" i="4"/>
  <c r="G2516" i="4"/>
  <c r="E2516" i="4" s="1"/>
  <c r="G2541" i="4"/>
  <c r="E2541" i="4" s="1"/>
  <c r="G2558" i="4"/>
  <c r="E2558" i="4" s="1"/>
  <c r="G2570" i="4"/>
  <c r="E2570" i="4" s="1"/>
  <c r="G2577" i="4"/>
  <c r="E2577" i="4" s="1"/>
  <c r="G2623" i="4"/>
  <c r="E2623" i="4" s="1"/>
  <c r="G2710" i="4"/>
  <c r="E2710" i="4" s="1"/>
  <c r="G2693" i="4"/>
  <c r="E2693" i="4" s="1"/>
  <c r="G2681" i="4"/>
  <c r="E2681" i="4" s="1"/>
  <c r="H2658" i="4"/>
  <c r="H2646" i="4"/>
  <c r="H2622" i="4"/>
  <c r="H2593" i="4"/>
  <c r="H2482" i="4"/>
  <c r="G2234" i="4"/>
  <c r="E2234" i="4" s="1"/>
  <c r="G2249" i="4"/>
  <c r="E2249" i="4" s="1"/>
  <c r="G2315" i="4"/>
  <c r="E2315" i="4" s="1"/>
  <c r="H2330" i="4"/>
  <c r="H2372" i="4"/>
  <c r="H2396" i="4"/>
  <c r="G2401" i="4"/>
  <c r="E2401" i="4" s="1"/>
  <c r="H2437" i="4"/>
  <c r="G2469" i="4"/>
  <c r="E2469" i="4" s="1"/>
  <c r="G2474" i="4"/>
  <c r="E2474" i="4" s="1"/>
  <c r="H2497" i="4"/>
  <c r="G2521" i="4"/>
  <c r="E2521" i="4" s="1"/>
  <c r="H2525" i="4"/>
  <c r="H2528" i="4"/>
  <c r="G2555" i="4"/>
  <c r="E2555" i="4" s="1"/>
  <c r="G2583" i="4"/>
  <c r="E2583" i="4" s="1"/>
  <c r="G2595" i="4"/>
  <c r="E2595" i="4" s="1"/>
  <c r="G2602" i="4"/>
  <c r="E2602" i="4" s="1"/>
  <c r="G2648" i="4"/>
  <c r="E2648" i="4" s="1"/>
  <c r="G2659" i="4"/>
  <c r="E2659" i="4" s="1"/>
  <c r="G2689" i="4"/>
  <c r="E2689" i="4" s="1"/>
  <c r="G2706" i="4"/>
  <c r="E2706" i="4" s="1"/>
  <c r="G2716" i="4"/>
  <c r="E2716" i="4" s="1"/>
  <c r="H2481" i="4"/>
  <c r="H2351" i="4"/>
  <c r="H2269" i="4"/>
  <c r="G2301" i="4"/>
  <c r="E2301" i="4" s="1"/>
  <c r="G2377" i="4"/>
  <c r="E2377" i="4" s="1"/>
  <c r="H2443" i="4"/>
  <c r="H2448" i="4"/>
  <c r="H2457" i="4"/>
  <c r="G2492" i="4"/>
  <c r="E2492" i="4" s="1"/>
  <c r="H2512" i="4"/>
  <c r="G2546" i="4"/>
  <c r="E2546" i="4" s="1"/>
  <c r="G2559" i="4"/>
  <c r="E2559" i="4" s="1"/>
  <c r="G2571" i="4"/>
  <c r="E2571" i="4" s="1"/>
  <c r="G2654" i="4"/>
  <c r="E2654" i="4" s="1"/>
  <c r="G2695" i="4"/>
  <c r="E2695" i="4" s="1"/>
  <c r="G2722" i="4"/>
  <c r="E2722" i="4" s="1"/>
  <c r="H2479" i="4"/>
  <c r="H2187" i="4"/>
  <c r="H2285" i="4"/>
  <c r="G2335" i="4"/>
  <c r="E2335" i="4" s="1"/>
  <c r="H2343" i="4"/>
  <c r="H2348" i="4"/>
  <c r="G2420" i="4"/>
  <c r="E2420" i="4" s="1"/>
  <c r="H2433" i="4"/>
  <c r="H2461" i="4"/>
  <c r="G2466" i="4"/>
  <c r="E2466" i="4" s="1"/>
  <c r="G2498" i="4"/>
  <c r="E2498" i="4" s="1"/>
  <c r="G2502" i="4"/>
  <c r="E2502" i="4" s="1"/>
  <c r="H2517" i="4"/>
  <c r="H2535" i="4"/>
  <c r="G2578" i="4"/>
  <c r="E2578" i="4" s="1"/>
  <c r="G2640" i="4"/>
  <c r="E2640" i="4" s="1"/>
  <c r="G2664" i="4"/>
  <c r="E2664" i="4" s="1"/>
  <c r="G2701" i="4"/>
  <c r="E2701" i="4" s="1"/>
  <c r="H2589" i="4"/>
  <c r="H2568" i="4"/>
  <c r="G2549" i="4"/>
  <c r="E2549" i="4" s="1"/>
  <c r="H2473" i="4"/>
  <c r="H2436" i="4"/>
  <c r="G2688" i="4"/>
  <c r="E2688" i="4" s="1"/>
  <c r="G2665" i="4"/>
  <c r="E2665" i="4" s="1"/>
  <c r="G2712" i="4"/>
  <c r="E2712" i="4" s="1"/>
  <c r="G2676" i="4"/>
  <c r="E2676" i="4" s="1"/>
  <c r="G2724" i="4"/>
  <c r="E2724" i="4" s="1"/>
  <c r="G2704" i="4"/>
  <c r="E2704" i="4" s="1"/>
  <c r="H377" i="4"/>
  <c r="G377" i="4"/>
  <c r="E377" i="4" s="1"/>
  <c r="H6" i="4"/>
  <c r="G6" i="4"/>
  <c r="E6" i="4" s="1"/>
  <c r="H16" i="4"/>
  <c r="G16" i="4"/>
  <c r="E16" i="4" s="1"/>
  <c r="H40" i="4"/>
  <c r="G40" i="4"/>
  <c r="E40" i="4" s="1"/>
  <c r="H64" i="4"/>
  <c r="G64" i="4"/>
  <c r="E64" i="4" s="1"/>
  <c r="H88" i="4"/>
  <c r="G88" i="4"/>
  <c r="E88" i="4" s="1"/>
  <c r="H112" i="4"/>
  <c r="G112" i="4"/>
  <c r="E112" i="4" s="1"/>
  <c r="H174" i="4"/>
  <c r="G174" i="4"/>
  <c r="E174" i="4" s="1"/>
  <c r="H182" i="4"/>
  <c r="G182" i="4"/>
  <c r="E182" i="4" s="1"/>
  <c r="G218" i="4"/>
  <c r="E218" i="4" s="1"/>
  <c r="H218" i="4"/>
  <c r="H231" i="4"/>
  <c r="G231" i="4"/>
  <c r="E231" i="4" s="1"/>
  <c r="H258" i="4"/>
  <c r="G258" i="4"/>
  <c r="E258" i="4" s="1"/>
  <c r="H279" i="4"/>
  <c r="G279" i="4"/>
  <c r="E279" i="4" s="1"/>
  <c r="H210" i="4"/>
  <c r="G210" i="4"/>
  <c r="E210" i="4" s="1"/>
  <c r="H12" i="4"/>
  <c r="G12" i="4"/>
  <c r="E12" i="4" s="1"/>
  <c r="H36" i="4"/>
  <c r="G36" i="4"/>
  <c r="E36" i="4" s="1"/>
  <c r="H60" i="4"/>
  <c r="G60" i="4"/>
  <c r="E60" i="4" s="1"/>
  <c r="H84" i="4"/>
  <c r="G84" i="4"/>
  <c r="E84" i="4" s="1"/>
  <c r="H108" i="4"/>
  <c r="G108" i="4"/>
  <c r="E108" i="4" s="1"/>
  <c r="H149" i="4"/>
  <c r="G149" i="4"/>
  <c r="E149" i="4" s="1"/>
  <c r="H154" i="4"/>
  <c r="G154" i="4"/>
  <c r="E154" i="4" s="1"/>
  <c r="G170" i="4"/>
  <c r="E170" i="4" s="1"/>
  <c r="H170" i="4"/>
  <c r="H183" i="4"/>
  <c r="G183" i="4"/>
  <c r="E183" i="4" s="1"/>
  <c r="H215" i="4"/>
  <c r="G215" i="4"/>
  <c r="E215" i="4" s="1"/>
  <c r="H219" i="4"/>
  <c r="G219" i="4"/>
  <c r="E219" i="4" s="1"/>
  <c r="H232" i="4"/>
  <c r="G232" i="4"/>
  <c r="E232" i="4" s="1"/>
  <c r="H237" i="4"/>
  <c r="G237" i="4"/>
  <c r="E237" i="4" s="1"/>
  <c r="H250" i="4"/>
  <c r="G250" i="4"/>
  <c r="E250" i="4" s="1"/>
  <c r="H280" i="4"/>
  <c r="G280" i="4"/>
  <c r="E280" i="4" s="1"/>
  <c r="H285" i="4"/>
  <c r="G285" i="4"/>
  <c r="E285" i="4" s="1"/>
  <c r="H298" i="4"/>
  <c r="G298" i="4"/>
  <c r="E298" i="4" s="1"/>
  <c r="H135" i="4"/>
  <c r="G135" i="4"/>
  <c r="E135" i="4" s="1"/>
  <c r="H306" i="4"/>
  <c r="G306" i="4"/>
  <c r="E306" i="4" s="1"/>
  <c r="H22" i="4"/>
  <c r="G22" i="4"/>
  <c r="E22" i="4" s="1"/>
  <c r="H46" i="4"/>
  <c r="G46" i="4"/>
  <c r="E46" i="4" s="1"/>
  <c r="H70" i="4"/>
  <c r="G70" i="4"/>
  <c r="E70" i="4" s="1"/>
  <c r="H94" i="4"/>
  <c r="G94" i="4"/>
  <c r="E94" i="4" s="1"/>
  <c r="H118" i="4"/>
  <c r="G118" i="4"/>
  <c r="E118" i="4" s="1"/>
  <c r="H136" i="4"/>
  <c r="G136" i="4"/>
  <c r="E136" i="4" s="1"/>
  <c r="H141" i="4"/>
  <c r="G141" i="4"/>
  <c r="E141" i="4" s="1"/>
  <c r="H162" i="4"/>
  <c r="G162" i="4"/>
  <c r="E162" i="4" s="1"/>
  <c r="H197" i="4"/>
  <c r="G197" i="4"/>
  <c r="E197" i="4" s="1"/>
  <c r="H202" i="4"/>
  <c r="G202" i="4"/>
  <c r="E202" i="4" s="1"/>
  <c r="H224" i="4"/>
  <c r="G224" i="4"/>
  <c r="E224" i="4" s="1"/>
  <c r="H228" i="4"/>
  <c r="G228" i="4"/>
  <c r="E228" i="4" s="1"/>
  <c r="H246" i="4"/>
  <c r="G246" i="4"/>
  <c r="E246" i="4" s="1"/>
  <c r="H276" i="4"/>
  <c r="G276" i="4"/>
  <c r="E276" i="4" s="1"/>
  <c r="H294" i="4"/>
  <c r="G294" i="4"/>
  <c r="E294" i="4" s="1"/>
  <c r="H353" i="4"/>
  <c r="G353" i="4"/>
  <c r="E353" i="4" s="1"/>
  <c r="H401" i="4"/>
  <c r="G401" i="4"/>
  <c r="E401" i="4" s="1"/>
  <c r="H74" i="4"/>
  <c r="G74" i="4"/>
  <c r="E74" i="4" s="1"/>
  <c r="H293" i="4"/>
  <c r="G293" i="4"/>
  <c r="E293" i="4" s="1"/>
  <c r="H80" i="4"/>
  <c r="G80" i="4"/>
  <c r="E80" i="4" s="1"/>
  <c r="H104" i="4"/>
  <c r="G104" i="4"/>
  <c r="E104" i="4" s="1"/>
  <c r="H128" i="4"/>
  <c r="G128" i="4"/>
  <c r="E128" i="4" s="1"/>
  <c r="H132" i="4"/>
  <c r="G132" i="4"/>
  <c r="E132" i="4" s="1"/>
  <c r="H150" i="4"/>
  <c r="G150" i="4"/>
  <c r="E150" i="4" s="1"/>
  <c r="H158" i="4"/>
  <c r="G158" i="4"/>
  <c r="E158" i="4" s="1"/>
  <c r="H167" i="4"/>
  <c r="G167" i="4"/>
  <c r="E167" i="4" s="1"/>
  <c r="H171" i="4"/>
  <c r="G171" i="4"/>
  <c r="E171" i="4" s="1"/>
  <c r="H184" i="4"/>
  <c r="G184" i="4"/>
  <c r="E184" i="4" s="1"/>
  <c r="H189" i="4"/>
  <c r="G189" i="4"/>
  <c r="E189" i="4" s="1"/>
  <c r="H233" i="4"/>
  <c r="G233" i="4"/>
  <c r="E233" i="4" s="1"/>
  <c r="H254" i="4"/>
  <c r="G254" i="4"/>
  <c r="E254" i="4" s="1"/>
  <c r="H281" i="4"/>
  <c r="G281" i="4"/>
  <c r="E281" i="4" s="1"/>
  <c r="H299" i="4"/>
  <c r="G299" i="4"/>
  <c r="E299" i="4" s="1"/>
  <c r="H50" i="4"/>
  <c r="G50" i="4"/>
  <c r="E50" i="4" s="1"/>
  <c r="H8" i="4"/>
  <c r="G8" i="4"/>
  <c r="E8" i="4" s="1"/>
  <c r="H66" i="4"/>
  <c r="G66" i="4"/>
  <c r="E66" i="4" s="1"/>
  <c r="H114" i="4"/>
  <c r="G114" i="4"/>
  <c r="E114" i="4" s="1"/>
  <c r="H137" i="4"/>
  <c r="G137" i="4"/>
  <c r="E137" i="4" s="1"/>
  <c r="H176" i="4"/>
  <c r="G176" i="4"/>
  <c r="E176" i="4" s="1"/>
  <c r="H180" i="4"/>
  <c r="G180" i="4"/>
  <c r="E180" i="4" s="1"/>
  <c r="H198" i="4"/>
  <c r="G198" i="4"/>
  <c r="E198" i="4" s="1"/>
  <c r="H206" i="4"/>
  <c r="G206" i="4"/>
  <c r="E206" i="4" s="1"/>
  <c r="G242" i="4"/>
  <c r="E242" i="4" s="1"/>
  <c r="H242" i="4"/>
  <c r="G290" i="4"/>
  <c r="E290" i="4" s="1"/>
  <c r="H290" i="4"/>
  <c r="H311" i="4"/>
  <c r="G311" i="4"/>
  <c r="E311" i="4" s="1"/>
  <c r="H320" i="4"/>
  <c r="G320" i="4"/>
  <c r="E320" i="4" s="1"/>
  <c r="H325" i="4"/>
  <c r="G325" i="4"/>
  <c r="E325" i="4" s="1"/>
  <c r="H338" i="4"/>
  <c r="G338" i="4"/>
  <c r="E338" i="4" s="1"/>
  <c r="H354" i="4"/>
  <c r="G354" i="4"/>
  <c r="E354" i="4" s="1"/>
  <c r="H267" i="4"/>
  <c r="G267" i="4"/>
  <c r="E267" i="4" s="1"/>
  <c r="H42" i="4"/>
  <c r="G42" i="4"/>
  <c r="E42" i="4" s="1"/>
  <c r="H4" i="4"/>
  <c r="G4" i="4"/>
  <c r="E4" i="4" s="1"/>
  <c r="H28" i="4"/>
  <c r="G28" i="4"/>
  <c r="E28" i="4" s="1"/>
  <c r="H52" i="4"/>
  <c r="G52" i="4"/>
  <c r="E52" i="4" s="1"/>
  <c r="H76" i="4"/>
  <c r="G76" i="4"/>
  <c r="E76" i="4" s="1"/>
  <c r="H100" i="4"/>
  <c r="G100" i="4"/>
  <c r="E100" i="4" s="1"/>
  <c r="H124" i="4"/>
  <c r="G124" i="4"/>
  <c r="E124" i="4" s="1"/>
  <c r="G146" i="4"/>
  <c r="E146" i="4" s="1"/>
  <c r="H146" i="4"/>
  <c r="H159" i="4"/>
  <c r="G159" i="4"/>
  <c r="E159" i="4" s="1"/>
  <c r="H185" i="4"/>
  <c r="G185" i="4"/>
  <c r="E185" i="4" s="1"/>
  <c r="H234" i="4"/>
  <c r="G234" i="4"/>
  <c r="E234" i="4" s="1"/>
  <c r="H255" i="4"/>
  <c r="G255" i="4"/>
  <c r="E255" i="4" s="1"/>
  <c r="H282" i="4"/>
  <c r="G282" i="4"/>
  <c r="E282" i="4" s="1"/>
  <c r="H300" i="4"/>
  <c r="G300" i="4"/>
  <c r="E300" i="4" s="1"/>
  <c r="H26" i="4"/>
  <c r="G26" i="4"/>
  <c r="E26" i="4" s="1"/>
  <c r="H341" i="4"/>
  <c r="G341" i="4"/>
  <c r="E341" i="4" s="1"/>
  <c r="H90" i="4"/>
  <c r="G90" i="4"/>
  <c r="E90" i="4" s="1"/>
  <c r="H62" i="4"/>
  <c r="G62" i="4"/>
  <c r="E62" i="4" s="1"/>
  <c r="G194" i="4"/>
  <c r="E194" i="4" s="1"/>
  <c r="H194" i="4"/>
  <c r="H207" i="4"/>
  <c r="G207" i="4"/>
  <c r="E207" i="4" s="1"/>
  <c r="H239" i="4"/>
  <c r="G239" i="4"/>
  <c r="E239" i="4" s="1"/>
  <c r="H243" i="4"/>
  <c r="G243" i="4"/>
  <c r="E243" i="4" s="1"/>
  <c r="H269" i="4"/>
  <c r="G269" i="4"/>
  <c r="E269" i="4" s="1"/>
  <c r="H287" i="4"/>
  <c r="G287" i="4"/>
  <c r="E287" i="4" s="1"/>
  <c r="H291" i="4"/>
  <c r="G291" i="4"/>
  <c r="E291" i="4" s="1"/>
  <c r="H312" i="4"/>
  <c r="G312" i="4"/>
  <c r="E312" i="4" s="1"/>
  <c r="G321" i="4"/>
  <c r="E321" i="4" s="1"/>
  <c r="H321" i="4"/>
  <c r="H98" i="4"/>
  <c r="G98" i="4"/>
  <c r="E98" i="4" s="1"/>
  <c r="H32" i="4"/>
  <c r="G32" i="4"/>
  <c r="E32" i="4" s="1"/>
  <c r="H14" i="4"/>
  <c r="G14" i="4"/>
  <c r="E14" i="4" s="1"/>
  <c r="H38" i="4"/>
  <c r="G38" i="4"/>
  <c r="E38" i="4" s="1"/>
  <c r="H86" i="4"/>
  <c r="G86" i="4"/>
  <c r="E86" i="4" s="1"/>
  <c r="H110" i="4"/>
  <c r="G110" i="4"/>
  <c r="E110" i="4" s="1"/>
  <c r="H138" i="4"/>
  <c r="G138" i="4"/>
  <c r="E138" i="4" s="1"/>
  <c r="H24" i="4"/>
  <c r="G24" i="4"/>
  <c r="E24" i="4" s="1"/>
  <c r="H48" i="4"/>
  <c r="G48" i="4"/>
  <c r="E48" i="4" s="1"/>
  <c r="H72" i="4"/>
  <c r="G72" i="4"/>
  <c r="E72" i="4" s="1"/>
  <c r="H96" i="4"/>
  <c r="G96" i="4"/>
  <c r="E96" i="4" s="1"/>
  <c r="H120" i="4"/>
  <c r="G120" i="4"/>
  <c r="E120" i="4" s="1"/>
  <c r="H143" i="4"/>
  <c r="G143" i="4"/>
  <c r="E143" i="4" s="1"/>
  <c r="G147" i="4"/>
  <c r="E147" i="4" s="1"/>
  <c r="H147" i="4"/>
  <c r="H160" i="4"/>
  <c r="G160" i="4"/>
  <c r="E160" i="4" s="1"/>
  <c r="H186" i="4"/>
  <c r="G186" i="4"/>
  <c r="E186" i="4" s="1"/>
  <c r="H221" i="4"/>
  <c r="G221" i="4"/>
  <c r="E221" i="4" s="1"/>
  <c r="H226" i="4"/>
  <c r="G226" i="4"/>
  <c r="E226" i="4" s="1"/>
  <c r="H256" i="4"/>
  <c r="G256" i="4"/>
  <c r="E256" i="4" s="1"/>
  <c r="H261" i="4"/>
  <c r="G261" i="4"/>
  <c r="E261" i="4" s="1"/>
  <c r="H274" i="4"/>
  <c r="G274" i="4"/>
  <c r="E274" i="4" s="1"/>
  <c r="H296" i="4"/>
  <c r="G296" i="4"/>
  <c r="E296" i="4" s="1"/>
  <c r="H122" i="4"/>
  <c r="G122" i="4"/>
  <c r="E122" i="4" s="1"/>
  <c r="H245" i="4"/>
  <c r="G245" i="4"/>
  <c r="E245" i="4" s="1"/>
  <c r="H56" i="4"/>
  <c r="G56" i="4"/>
  <c r="E56" i="4" s="1"/>
  <c r="H18" i="4"/>
  <c r="G18" i="4"/>
  <c r="E18" i="4" s="1"/>
  <c r="H10" i="4"/>
  <c r="G10" i="4"/>
  <c r="E10" i="4" s="1"/>
  <c r="H34" i="4"/>
  <c r="G34" i="4"/>
  <c r="E34" i="4" s="1"/>
  <c r="H58" i="4"/>
  <c r="G58" i="4"/>
  <c r="E58" i="4" s="1"/>
  <c r="H130" i="4"/>
  <c r="G130" i="4"/>
  <c r="E130" i="4" s="1"/>
  <c r="H152" i="4"/>
  <c r="G152" i="4"/>
  <c r="E152" i="4" s="1"/>
  <c r="H191" i="4"/>
  <c r="G191" i="4"/>
  <c r="E191" i="4" s="1"/>
  <c r="H195" i="4"/>
  <c r="G195" i="4"/>
  <c r="E195" i="4" s="1"/>
  <c r="H208" i="4"/>
  <c r="G208" i="4"/>
  <c r="E208" i="4" s="1"/>
  <c r="H213" i="4"/>
  <c r="G213" i="4"/>
  <c r="E213" i="4" s="1"/>
  <c r="H252" i="4"/>
  <c r="G252" i="4"/>
  <c r="E252" i="4" s="1"/>
  <c r="H270" i="4"/>
  <c r="G270" i="4"/>
  <c r="E270" i="4" s="1"/>
  <c r="H313" i="4"/>
  <c r="G313" i="4"/>
  <c r="E313" i="4" s="1"/>
  <c r="H317" i="4"/>
  <c r="G317" i="4"/>
  <c r="E317" i="4" s="1"/>
  <c r="H322" i="4"/>
  <c r="G322" i="4"/>
  <c r="E322" i="4" s="1"/>
  <c r="H330" i="4"/>
  <c r="G330" i="4"/>
  <c r="E330" i="4" s="1"/>
  <c r="G345" i="4"/>
  <c r="E345" i="4" s="1"/>
  <c r="H345" i="4"/>
  <c r="H82" i="4"/>
  <c r="G82" i="4"/>
  <c r="E82" i="4" s="1"/>
  <c r="H106" i="4"/>
  <c r="G106" i="4"/>
  <c r="E106" i="4" s="1"/>
  <c r="H156" i="4"/>
  <c r="G156" i="4"/>
  <c r="E156" i="4" s="1"/>
  <c r="H20" i="4"/>
  <c r="G20" i="4"/>
  <c r="E20" i="4" s="1"/>
  <c r="H44" i="4"/>
  <c r="G44" i="4"/>
  <c r="E44" i="4" s="1"/>
  <c r="H68" i="4"/>
  <c r="G68" i="4"/>
  <c r="E68" i="4" s="1"/>
  <c r="H92" i="4"/>
  <c r="G92" i="4"/>
  <c r="E92" i="4" s="1"/>
  <c r="H116" i="4"/>
  <c r="G116" i="4"/>
  <c r="E116" i="4" s="1"/>
  <c r="H173" i="4"/>
  <c r="G173" i="4"/>
  <c r="E173" i="4" s="1"/>
  <c r="H178" i="4"/>
  <c r="G178" i="4"/>
  <c r="E178" i="4" s="1"/>
  <c r="H200" i="4"/>
  <c r="G200" i="4"/>
  <c r="E200" i="4" s="1"/>
  <c r="H204" i="4"/>
  <c r="G204" i="4"/>
  <c r="E204" i="4" s="1"/>
  <c r="H222" i="4"/>
  <c r="G222" i="4"/>
  <c r="E222" i="4" s="1"/>
  <c r="H230" i="4"/>
  <c r="G230" i="4"/>
  <c r="E230" i="4" s="1"/>
  <c r="H257" i="4"/>
  <c r="G257" i="4"/>
  <c r="E257" i="4" s="1"/>
  <c r="H278" i="4"/>
  <c r="G278" i="4"/>
  <c r="E278" i="4" s="1"/>
  <c r="H263" i="4"/>
  <c r="G263" i="4"/>
  <c r="E263" i="4" s="1"/>
  <c r="H336" i="4"/>
  <c r="G336" i="4"/>
  <c r="E336" i="4" s="1"/>
  <c r="H30" i="4"/>
  <c r="G30" i="4"/>
  <c r="E30" i="4" s="1"/>
  <c r="H54" i="4"/>
  <c r="G54" i="4"/>
  <c r="E54" i="4" s="1"/>
  <c r="H78" i="4"/>
  <c r="G78" i="4"/>
  <c r="E78" i="4" s="1"/>
  <c r="H102" i="4"/>
  <c r="G102" i="4"/>
  <c r="E102" i="4" s="1"/>
  <c r="H126" i="4"/>
  <c r="G126" i="4"/>
  <c r="E126" i="4" s="1"/>
  <c r="H134" i="4"/>
  <c r="G134" i="4"/>
  <c r="E134" i="4" s="1"/>
  <c r="H165" i="4"/>
  <c r="G165" i="4"/>
  <c r="E165" i="4" s="1"/>
  <c r="H209" i="4"/>
  <c r="G209" i="4"/>
  <c r="E209" i="4" s="1"/>
  <c r="G266" i="4"/>
  <c r="E266" i="4" s="1"/>
  <c r="H266" i="4"/>
  <c r="G318" i="4"/>
  <c r="E318" i="4" s="1"/>
  <c r="H318" i="4"/>
  <c r="H331" i="4"/>
  <c r="G331" i="4"/>
  <c r="E331" i="4" s="1"/>
  <c r="G249" i="4"/>
  <c r="E249" i="4" s="1"/>
  <c r="H383" i="4"/>
  <c r="G383" i="4"/>
  <c r="E383" i="4" s="1"/>
  <c r="H444" i="4"/>
  <c r="G444" i="4"/>
  <c r="E444" i="4" s="1"/>
  <c r="H537" i="4"/>
  <c r="G537" i="4"/>
  <c r="E537" i="4" s="1"/>
  <c r="H681" i="4"/>
  <c r="G681" i="4"/>
  <c r="E681" i="4" s="1"/>
  <c r="H762" i="4"/>
  <c r="G762" i="4"/>
  <c r="E762" i="4" s="1"/>
  <c r="H767" i="4"/>
  <c r="G767" i="4"/>
  <c r="E767" i="4" s="1"/>
  <c r="H779" i="4"/>
  <c r="G779" i="4"/>
  <c r="E779" i="4" s="1"/>
  <c r="G811" i="4"/>
  <c r="E811" i="4" s="1"/>
  <c r="H811" i="4"/>
  <c r="H815" i="4"/>
  <c r="G815" i="4"/>
  <c r="E815" i="4" s="1"/>
  <c r="G823" i="4"/>
  <c r="E823" i="4" s="1"/>
  <c r="H823" i="4"/>
  <c r="H558" i="4"/>
  <c r="G558" i="4"/>
  <c r="E558" i="4" s="1"/>
  <c r="G835" i="4"/>
  <c r="E835" i="4" s="1"/>
  <c r="H835" i="4"/>
  <c r="H358" i="4"/>
  <c r="H390" i="4"/>
  <c r="G390" i="4"/>
  <c r="E390" i="4" s="1"/>
  <c r="H432" i="4"/>
  <c r="G432" i="4"/>
  <c r="E432" i="4" s="1"/>
  <c r="H456" i="4"/>
  <c r="G456" i="4"/>
  <c r="E456" i="4" s="1"/>
  <c r="G502" i="4"/>
  <c r="E502" i="4" s="1"/>
  <c r="H562" i="4"/>
  <c r="G562" i="4"/>
  <c r="E562" i="4" s="1"/>
  <c r="H592" i="4"/>
  <c r="G592" i="4"/>
  <c r="E592" i="4" s="1"/>
  <c r="G5" i="4"/>
  <c r="E5" i="4" s="1"/>
  <c r="G9" i="4"/>
  <c r="E9" i="4" s="1"/>
  <c r="G13" i="4"/>
  <c r="E13" i="4" s="1"/>
  <c r="G17" i="4"/>
  <c r="E17" i="4" s="1"/>
  <c r="G21" i="4"/>
  <c r="E21" i="4" s="1"/>
  <c r="G23" i="4"/>
  <c r="E23" i="4" s="1"/>
  <c r="G25" i="4"/>
  <c r="E25" i="4" s="1"/>
  <c r="G27" i="4"/>
  <c r="E27" i="4" s="1"/>
  <c r="G29" i="4"/>
  <c r="E29" i="4" s="1"/>
  <c r="G33" i="4"/>
  <c r="E33" i="4" s="1"/>
  <c r="G37" i="4"/>
  <c r="E37" i="4" s="1"/>
  <c r="G39" i="4"/>
  <c r="E39" i="4" s="1"/>
  <c r="G41" i="4"/>
  <c r="E41" i="4" s="1"/>
  <c r="G43" i="4"/>
  <c r="E43" i="4" s="1"/>
  <c r="G45" i="4"/>
  <c r="E45" i="4" s="1"/>
  <c r="G47" i="4"/>
  <c r="E47" i="4" s="1"/>
  <c r="G49" i="4"/>
  <c r="E49" i="4" s="1"/>
  <c r="G53" i="4"/>
  <c r="E53" i="4" s="1"/>
  <c r="G55" i="4"/>
  <c r="E55" i="4" s="1"/>
  <c r="G57" i="4"/>
  <c r="E57" i="4" s="1"/>
  <c r="G59" i="4"/>
  <c r="E59" i="4" s="1"/>
  <c r="G61" i="4"/>
  <c r="E61" i="4" s="1"/>
  <c r="G63" i="4"/>
  <c r="E63" i="4" s="1"/>
  <c r="G67" i="4"/>
  <c r="E67" i="4" s="1"/>
  <c r="G69" i="4"/>
  <c r="E69" i="4" s="1"/>
  <c r="G71" i="4"/>
  <c r="E71" i="4" s="1"/>
  <c r="G73" i="4"/>
  <c r="E73" i="4" s="1"/>
  <c r="G75" i="4"/>
  <c r="E75" i="4" s="1"/>
  <c r="G77" i="4"/>
  <c r="E77" i="4" s="1"/>
  <c r="G79" i="4"/>
  <c r="E79" i="4" s="1"/>
  <c r="G81" i="4"/>
  <c r="E81" i="4" s="1"/>
  <c r="G83" i="4"/>
  <c r="E83" i="4" s="1"/>
  <c r="G85" i="4"/>
  <c r="E85" i="4" s="1"/>
  <c r="G87" i="4"/>
  <c r="E87" i="4" s="1"/>
  <c r="G89" i="4"/>
  <c r="E89" i="4" s="1"/>
  <c r="G93" i="4"/>
  <c r="E93" i="4" s="1"/>
  <c r="G95" i="4"/>
  <c r="E95" i="4" s="1"/>
  <c r="G97" i="4"/>
  <c r="E97" i="4" s="1"/>
  <c r="G99" i="4"/>
  <c r="E99" i="4" s="1"/>
  <c r="G101" i="4"/>
  <c r="E101" i="4" s="1"/>
  <c r="G103" i="4"/>
  <c r="E103" i="4" s="1"/>
  <c r="G105" i="4"/>
  <c r="E105" i="4" s="1"/>
  <c r="G109" i="4"/>
  <c r="E109" i="4" s="1"/>
  <c r="G113" i="4"/>
  <c r="E113" i="4" s="1"/>
  <c r="G117" i="4"/>
  <c r="E117" i="4" s="1"/>
  <c r="G121" i="4"/>
  <c r="E121" i="4" s="1"/>
  <c r="G123" i="4"/>
  <c r="E123" i="4" s="1"/>
  <c r="G125" i="4"/>
  <c r="E125" i="4" s="1"/>
  <c r="G127" i="4"/>
  <c r="E127" i="4" s="1"/>
  <c r="H129" i="4"/>
  <c r="H142" i="4"/>
  <c r="G151" i="4"/>
  <c r="E151" i="4" s="1"/>
  <c r="H153" i="4"/>
  <c r="H166" i="4"/>
  <c r="G175" i="4"/>
  <c r="E175" i="4" s="1"/>
  <c r="G188" i="4"/>
  <c r="E188" i="4" s="1"/>
  <c r="G212" i="4"/>
  <c r="E212" i="4" s="1"/>
  <c r="H214" i="4"/>
  <c r="G223" i="4"/>
  <c r="E223" i="4" s="1"/>
  <c r="H225" i="4"/>
  <c r="G236" i="4"/>
  <c r="E236" i="4" s="1"/>
  <c r="H238" i="4"/>
  <c r="G247" i="4"/>
  <c r="E247" i="4" s="1"/>
  <c r="G260" i="4"/>
  <c r="E260" i="4" s="1"/>
  <c r="G302" i="4"/>
  <c r="E302" i="4" s="1"/>
  <c r="G307" i="4"/>
  <c r="E307" i="4" s="1"/>
  <c r="H324" i="4"/>
  <c r="H329" i="4"/>
  <c r="G332" i="4"/>
  <c r="E332" i="4" s="1"/>
  <c r="G337" i="4"/>
  <c r="E337" i="4" s="1"/>
  <c r="H342" i="4"/>
  <c r="G380" i="4"/>
  <c r="E380" i="4" s="1"/>
  <c r="G413" i="4"/>
  <c r="E413" i="4" s="1"/>
  <c r="H460" i="4"/>
  <c r="G460" i="4"/>
  <c r="E460" i="4" s="1"/>
  <c r="G475" i="4"/>
  <c r="E475" i="4" s="1"/>
  <c r="H500" i="4"/>
  <c r="G500" i="4"/>
  <c r="E500" i="4" s="1"/>
  <c r="H503" i="4"/>
  <c r="G503" i="4"/>
  <c r="E503" i="4" s="1"/>
  <c r="H530" i="4"/>
  <c r="G530" i="4"/>
  <c r="E530" i="4" s="1"/>
  <c r="H566" i="4"/>
  <c r="G566" i="4"/>
  <c r="E566" i="4" s="1"/>
  <c r="H652" i="4"/>
  <c r="G652" i="4"/>
  <c r="E652" i="4" s="1"/>
  <c r="H675" i="4"/>
  <c r="G675" i="4"/>
  <c r="E675" i="4" s="1"/>
  <c r="H750" i="4"/>
  <c r="G750" i="4"/>
  <c r="E750" i="4" s="1"/>
  <c r="H755" i="4"/>
  <c r="G755" i="4"/>
  <c r="E755" i="4" s="1"/>
  <c r="G799" i="4"/>
  <c r="E799" i="4" s="1"/>
  <c r="H799" i="4"/>
  <c r="H510" i="4"/>
  <c r="G510" i="4"/>
  <c r="E510" i="4" s="1"/>
  <c r="G347" i="4"/>
  <c r="E347" i="4" s="1"/>
  <c r="H371" i="4"/>
  <c r="G371" i="4"/>
  <c r="E371" i="4" s="1"/>
  <c r="H407" i="4"/>
  <c r="G407" i="4"/>
  <c r="E407" i="4" s="1"/>
  <c r="H414" i="4"/>
  <c r="G414" i="4"/>
  <c r="E414" i="4" s="1"/>
  <c r="G417" i="4"/>
  <c r="E417" i="4" s="1"/>
  <c r="H468" i="4"/>
  <c r="G468" i="4"/>
  <c r="E468" i="4" s="1"/>
  <c r="H476" i="4"/>
  <c r="G476" i="4"/>
  <c r="E476" i="4" s="1"/>
  <c r="H538" i="4"/>
  <c r="G538" i="4"/>
  <c r="E538" i="4" s="1"/>
  <c r="H555" i="4"/>
  <c r="G555" i="4"/>
  <c r="E555" i="4" s="1"/>
  <c r="H567" i="4"/>
  <c r="G567" i="4"/>
  <c r="E567" i="4" s="1"/>
  <c r="H616" i="4"/>
  <c r="G616" i="4"/>
  <c r="E616" i="4" s="1"/>
  <c r="H672" i="4"/>
  <c r="G672" i="4"/>
  <c r="E672" i="4" s="1"/>
  <c r="H739" i="4"/>
  <c r="G739" i="4"/>
  <c r="E739" i="4" s="1"/>
  <c r="H744" i="4"/>
  <c r="G744" i="4"/>
  <c r="E744" i="4" s="1"/>
  <c r="H624" i="4"/>
  <c r="G624" i="4"/>
  <c r="E624" i="4" s="1"/>
  <c r="G340" i="4"/>
  <c r="E340" i="4" s="1"/>
  <c r="G368" i="4"/>
  <c r="E368" i="4" s="1"/>
  <c r="H378" i="4"/>
  <c r="G378" i="4"/>
  <c r="E378" i="4" s="1"/>
  <c r="H397" i="4"/>
  <c r="G397" i="4"/>
  <c r="E397" i="4" s="1"/>
  <c r="H425" i="4"/>
  <c r="G425" i="4"/>
  <c r="E425" i="4" s="1"/>
  <c r="H437" i="4"/>
  <c r="G437" i="4"/>
  <c r="E437" i="4" s="1"/>
  <c r="H449" i="4"/>
  <c r="G449" i="4"/>
  <c r="E449" i="4" s="1"/>
  <c r="H461" i="4"/>
  <c r="G461" i="4"/>
  <c r="E461" i="4" s="1"/>
  <c r="H551" i="4"/>
  <c r="G551" i="4"/>
  <c r="E551" i="4" s="1"/>
  <c r="H572" i="4"/>
  <c r="G572" i="4"/>
  <c r="E572" i="4" s="1"/>
  <c r="H580" i="4"/>
  <c r="G580" i="4"/>
  <c r="E580" i="4" s="1"/>
  <c r="H607" i="4"/>
  <c r="G607" i="4"/>
  <c r="E607" i="4" s="1"/>
  <c r="G665" i="4"/>
  <c r="E665" i="4" s="1"/>
  <c r="H665" i="4"/>
  <c r="H724" i="4"/>
  <c r="G724" i="4"/>
  <c r="E724" i="4" s="1"/>
  <c r="H732" i="4"/>
  <c r="G732" i="4"/>
  <c r="E732" i="4" s="1"/>
  <c r="G217" i="4"/>
  <c r="E217" i="4" s="1"/>
  <c r="G241" i="4"/>
  <c r="E241" i="4" s="1"/>
  <c r="G265" i="4"/>
  <c r="E265" i="4" s="1"/>
  <c r="G289" i="4"/>
  <c r="E289" i="4" s="1"/>
  <c r="H305" i="4"/>
  <c r="H310" i="4"/>
  <c r="G315" i="4"/>
  <c r="E315" i="4" s="1"/>
  <c r="G343" i="4"/>
  <c r="E343" i="4" s="1"/>
  <c r="G359" i="4"/>
  <c r="E359" i="4" s="1"/>
  <c r="G362" i="4"/>
  <c r="E362" i="4" s="1"/>
  <c r="G384" i="4"/>
  <c r="E384" i="4" s="1"/>
  <c r="G404" i="4"/>
  <c r="E404" i="4" s="1"/>
  <c r="H421" i="4"/>
  <c r="G421" i="4"/>
  <c r="E421" i="4" s="1"/>
  <c r="H433" i="4"/>
  <c r="G433" i="4"/>
  <c r="E433" i="4" s="1"/>
  <c r="H445" i="4"/>
  <c r="G445" i="4"/>
  <c r="E445" i="4" s="1"/>
  <c r="H489" i="4"/>
  <c r="G489" i="4"/>
  <c r="E489" i="4" s="1"/>
  <c r="H527" i="4"/>
  <c r="G527" i="4"/>
  <c r="E527" i="4" s="1"/>
  <c r="H648" i="4"/>
  <c r="G648" i="4"/>
  <c r="E648" i="4" s="1"/>
  <c r="H499" i="4"/>
  <c r="G499" i="4"/>
  <c r="E499" i="4" s="1"/>
  <c r="H334" i="4"/>
  <c r="G308" i="4"/>
  <c r="E308" i="4" s="1"/>
  <c r="H366" i="4"/>
  <c r="G366" i="4"/>
  <c r="E366" i="4" s="1"/>
  <c r="H485" i="4"/>
  <c r="G485" i="4"/>
  <c r="E485" i="4" s="1"/>
  <c r="H519" i="4"/>
  <c r="G519" i="4"/>
  <c r="E519" i="4" s="1"/>
  <c r="G552" i="4"/>
  <c r="E552" i="4" s="1"/>
  <c r="H552" i="4"/>
  <c r="H640" i="4"/>
  <c r="G640" i="4"/>
  <c r="E640" i="4" s="1"/>
  <c r="H655" i="4"/>
  <c r="G655" i="4"/>
  <c r="E655" i="4" s="1"/>
  <c r="H462" i="4"/>
  <c r="G462" i="4"/>
  <c r="E462" i="4" s="1"/>
  <c r="H473" i="4"/>
  <c r="G473" i="4"/>
  <c r="E473" i="4" s="1"/>
  <c r="H481" i="4"/>
  <c r="G481" i="4"/>
  <c r="E481" i="4" s="1"/>
  <c r="H486" i="4"/>
  <c r="G486" i="4"/>
  <c r="E486" i="4" s="1"/>
  <c r="H490" i="4"/>
  <c r="G490" i="4"/>
  <c r="E490" i="4" s="1"/>
  <c r="H505" i="4"/>
  <c r="G505" i="4"/>
  <c r="E505" i="4" s="1"/>
  <c r="H515" i="4"/>
  <c r="G515" i="4"/>
  <c r="E515" i="4" s="1"/>
  <c r="G520" i="4"/>
  <c r="E520" i="4" s="1"/>
  <c r="H520" i="4"/>
  <c r="H532" i="4"/>
  <c r="G532" i="4"/>
  <c r="E532" i="4" s="1"/>
  <c r="H604" i="4"/>
  <c r="G604" i="4"/>
  <c r="E604" i="4" s="1"/>
  <c r="H631" i="4"/>
  <c r="G631" i="4"/>
  <c r="E631" i="4" s="1"/>
  <c r="G139" i="4"/>
  <c r="E139" i="4" s="1"/>
  <c r="G163" i="4"/>
  <c r="E163" i="4" s="1"/>
  <c r="G187" i="4"/>
  <c r="E187" i="4" s="1"/>
  <c r="G235" i="4"/>
  <c r="E235" i="4" s="1"/>
  <c r="G248" i="4"/>
  <c r="E248" i="4" s="1"/>
  <c r="G283" i="4"/>
  <c r="E283" i="4" s="1"/>
  <c r="G301" i="4"/>
  <c r="E301" i="4" s="1"/>
  <c r="G323" i="4"/>
  <c r="E323" i="4" s="1"/>
  <c r="G346" i="4"/>
  <c r="E346" i="4" s="1"/>
  <c r="G357" i="4"/>
  <c r="E357" i="4" s="1"/>
  <c r="H395" i="4"/>
  <c r="G395" i="4"/>
  <c r="E395" i="4" s="1"/>
  <c r="H402" i="4"/>
  <c r="G402" i="4"/>
  <c r="E402" i="4" s="1"/>
  <c r="H478" i="4"/>
  <c r="G478" i="4"/>
  <c r="E478" i="4" s="1"/>
  <c r="G497" i="4"/>
  <c r="E497" i="4" s="1"/>
  <c r="H548" i="4"/>
  <c r="G548" i="4"/>
  <c r="E548" i="4" s="1"/>
  <c r="H529" i="4"/>
  <c r="G529" i="4"/>
  <c r="E529" i="4" s="1"/>
  <c r="H385" i="4"/>
  <c r="G385" i="4"/>
  <c r="E385" i="4" s="1"/>
  <c r="H466" i="4"/>
  <c r="G466" i="4"/>
  <c r="E466" i="4" s="1"/>
  <c r="G482" i="4"/>
  <c r="E482" i="4" s="1"/>
  <c r="H482" i="4"/>
  <c r="H516" i="4"/>
  <c r="G516" i="4"/>
  <c r="E516" i="4" s="1"/>
  <c r="H521" i="4"/>
  <c r="G521" i="4"/>
  <c r="E521" i="4" s="1"/>
  <c r="H540" i="4"/>
  <c r="G540" i="4"/>
  <c r="E540" i="4" s="1"/>
  <c r="H628" i="4"/>
  <c r="G628" i="4"/>
  <c r="E628" i="4" s="1"/>
  <c r="G696" i="4"/>
  <c r="E696" i="4" s="1"/>
  <c r="H696" i="4"/>
  <c r="H664" i="4"/>
  <c r="G664" i="4"/>
  <c r="E664" i="4" s="1"/>
  <c r="G316" i="4"/>
  <c r="E316" i="4" s="1"/>
  <c r="G360" i="4"/>
  <c r="E360" i="4" s="1"/>
  <c r="H363" i="4"/>
  <c r="H379" i="4"/>
  <c r="H419" i="4"/>
  <c r="G419" i="4"/>
  <c r="E419" i="4" s="1"/>
  <c r="H427" i="4"/>
  <c r="G427" i="4"/>
  <c r="E427" i="4" s="1"/>
  <c r="H439" i="4"/>
  <c r="G439" i="4"/>
  <c r="E439" i="4" s="1"/>
  <c r="H451" i="4"/>
  <c r="G451" i="4"/>
  <c r="E451" i="4" s="1"/>
  <c r="H471" i="4"/>
  <c r="G471" i="4"/>
  <c r="E471" i="4" s="1"/>
  <c r="H509" i="4"/>
  <c r="G509" i="4"/>
  <c r="E509" i="4" s="1"/>
  <c r="G560" i="4"/>
  <c r="E560" i="4" s="1"/>
  <c r="H560" i="4"/>
  <c r="H600" i="4"/>
  <c r="G600" i="4"/>
  <c r="E600" i="4" s="1"/>
  <c r="G570" i="4"/>
  <c r="E570" i="4" s="1"/>
  <c r="H570" i="4"/>
  <c r="H409" i="4"/>
  <c r="G409" i="4"/>
  <c r="E409" i="4" s="1"/>
  <c r="H431" i="4"/>
  <c r="G431" i="4"/>
  <c r="E431" i="4" s="1"/>
  <c r="H443" i="4"/>
  <c r="G443" i="4"/>
  <c r="E443" i="4" s="1"/>
  <c r="H455" i="4"/>
  <c r="G455" i="4"/>
  <c r="E455" i="4" s="1"/>
  <c r="H467" i="4"/>
  <c r="G467" i="4"/>
  <c r="E467" i="4" s="1"/>
  <c r="H483" i="4"/>
  <c r="G483" i="4"/>
  <c r="E483" i="4" s="1"/>
  <c r="H495" i="4"/>
  <c r="G495" i="4"/>
  <c r="E495" i="4" s="1"/>
  <c r="H512" i="4"/>
  <c r="G512" i="4"/>
  <c r="E512" i="4" s="1"/>
  <c r="H517" i="4"/>
  <c r="G517" i="4"/>
  <c r="E517" i="4" s="1"/>
  <c r="H541" i="4"/>
  <c r="G541" i="4"/>
  <c r="E541" i="4" s="1"/>
  <c r="H561" i="4"/>
  <c r="G561" i="4"/>
  <c r="E561" i="4" s="1"/>
  <c r="G689" i="4"/>
  <c r="E689" i="4" s="1"/>
  <c r="H689" i="4"/>
  <c r="H549" i="4"/>
  <c r="G549" i="4"/>
  <c r="E549" i="4" s="1"/>
  <c r="H583" i="4"/>
  <c r="G583" i="4"/>
  <c r="E583" i="4" s="1"/>
  <c r="H711" i="4"/>
  <c r="G711" i="4"/>
  <c r="E711" i="4" s="1"/>
  <c r="H791" i="4"/>
  <c r="G791" i="4"/>
  <c r="E791" i="4" s="1"/>
  <c r="H804" i="4"/>
  <c r="G804" i="4"/>
  <c r="E804" i="4" s="1"/>
  <c r="H828" i="4"/>
  <c r="G828" i="4"/>
  <c r="E828" i="4" s="1"/>
  <c r="H849" i="4"/>
  <c r="G849" i="4"/>
  <c r="E849" i="4" s="1"/>
  <c r="H533" i="4"/>
  <c r="G533" i="4"/>
  <c r="E533" i="4" s="1"/>
  <c r="H590" i="4"/>
  <c r="G590" i="4"/>
  <c r="E590" i="4" s="1"/>
  <c r="H614" i="4"/>
  <c r="G614" i="4"/>
  <c r="E614" i="4" s="1"/>
  <c r="H638" i="4"/>
  <c r="G638" i="4"/>
  <c r="E638" i="4" s="1"/>
  <c r="H662" i="4"/>
  <c r="G662" i="4"/>
  <c r="E662" i="4" s="1"/>
  <c r="H706" i="4"/>
  <c r="G706" i="4"/>
  <c r="E706" i="4" s="1"/>
  <c r="H725" i="4"/>
  <c r="G725" i="4"/>
  <c r="E725" i="4" s="1"/>
  <c r="H729" i="4"/>
  <c r="G729" i="4"/>
  <c r="E729" i="4" s="1"/>
  <c r="G488" i="4"/>
  <c r="E488" i="4" s="1"/>
  <c r="H591" i="4"/>
  <c r="G591" i="4"/>
  <c r="E591" i="4" s="1"/>
  <c r="H615" i="4"/>
  <c r="G615" i="4"/>
  <c r="E615" i="4" s="1"/>
  <c r="H639" i="4"/>
  <c r="G639" i="4"/>
  <c r="E639" i="4" s="1"/>
  <c r="H663" i="4"/>
  <c r="G663" i="4"/>
  <c r="E663" i="4" s="1"/>
  <c r="G669" i="4"/>
  <c r="E669" i="4" s="1"/>
  <c r="H682" i="4"/>
  <c r="G682" i="4"/>
  <c r="E682" i="4" s="1"/>
  <c r="G686" i="4"/>
  <c r="E686" i="4" s="1"/>
  <c r="H686" i="4"/>
  <c r="H703" i="4"/>
  <c r="G703" i="4"/>
  <c r="E703" i="4" s="1"/>
  <c r="G740" i="4"/>
  <c r="E740" i="4" s="1"/>
  <c r="H740" i="4"/>
  <c r="G751" i="4"/>
  <c r="E751" i="4" s="1"/>
  <c r="H751" i="4"/>
  <c r="H776" i="4"/>
  <c r="G776" i="4"/>
  <c r="E776" i="4" s="1"/>
  <c r="H788" i="4"/>
  <c r="G788" i="4"/>
  <c r="E788" i="4" s="1"/>
  <c r="H571" i="4"/>
  <c r="G571" i="4"/>
  <c r="E571" i="4" s="1"/>
  <c r="G608" i="4"/>
  <c r="E608" i="4" s="1"/>
  <c r="G611" i="4"/>
  <c r="E611" i="4" s="1"/>
  <c r="G632" i="4"/>
  <c r="E632" i="4" s="1"/>
  <c r="G635" i="4"/>
  <c r="E635" i="4" s="1"/>
  <c r="G656" i="4"/>
  <c r="E656" i="4" s="1"/>
  <c r="G659" i="4"/>
  <c r="E659" i="4" s="1"/>
  <c r="H683" i="4"/>
  <c r="G683" i="4"/>
  <c r="E683" i="4" s="1"/>
  <c r="H690" i="4"/>
  <c r="G690" i="4"/>
  <c r="E690" i="4" s="1"/>
  <c r="H693" i="4"/>
  <c r="G693" i="4"/>
  <c r="E693" i="4" s="1"/>
  <c r="H741" i="4"/>
  <c r="G741" i="4"/>
  <c r="E741" i="4" s="1"/>
  <c r="H752" i="4"/>
  <c r="G752" i="4"/>
  <c r="E752" i="4" s="1"/>
  <c r="H764" i="4"/>
  <c r="G764" i="4"/>
  <c r="E764" i="4" s="1"/>
  <c r="H594" i="4"/>
  <c r="H618" i="4"/>
  <c r="H642" i="4"/>
  <c r="G673" i="4"/>
  <c r="E673" i="4" s="1"/>
  <c r="H673" i="4"/>
  <c r="H726" i="4"/>
  <c r="G726" i="4"/>
  <c r="E726" i="4" s="1"/>
  <c r="H850" i="4"/>
  <c r="G850" i="4"/>
  <c r="E850" i="4" s="1"/>
  <c r="H595" i="4"/>
  <c r="G595" i="4"/>
  <c r="E595" i="4" s="1"/>
  <c r="H619" i="4"/>
  <c r="G619" i="4"/>
  <c r="E619" i="4" s="1"/>
  <c r="H643" i="4"/>
  <c r="G643" i="4"/>
  <c r="E643" i="4" s="1"/>
  <c r="G734" i="4"/>
  <c r="E734" i="4" s="1"/>
  <c r="H734" i="4"/>
  <c r="G757" i="4"/>
  <c r="E757" i="4" s="1"/>
  <c r="H757" i="4"/>
  <c r="H818" i="4"/>
  <c r="G818" i="4"/>
  <c r="E818" i="4" s="1"/>
  <c r="G457" i="4"/>
  <c r="E457" i="4" s="1"/>
  <c r="G484" i="4"/>
  <c r="E484" i="4" s="1"/>
  <c r="G491" i="4"/>
  <c r="E491" i="4" s="1"/>
  <c r="G513" i="4"/>
  <c r="E513" i="4" s="1"/>
  <c r="G523" i="4"/>
  <c r="E523" i="4" s="1"/>
  <c r="G588" i="4"/>
  <c r="E588" i="4" s="1"/>
  <c r="G612" i="4"/>
  <c r="E612" i="4" s="1"/>
  <c r="G636" i="4"/>
  <c r="E636" i="4" s="1"/>
  <c r="G660" i="4"/>
  <c r="E660" i="4" s="1"/>
  <c r="H667" i="4"/>
  <c r="G667" i="4"/>
  <c r="E667" i="4" s="1"/>
  <c r="G701" i="4"/>
  <c r="E701" i="4" s="1"/>
  <c r="G719" i="4"/>
  <c r="E719" i="4" s="1"/>
  <c r="H794" i="4"/>
  <c r="G794" i="4"/>
  <c r="E794" i="4" s="1"/>
  <c r="H809" i="4"/>
  <c r="G809" i="4"/>
  <c r="E809" i="4" s="1"/>
  <c r="H846" i="4"/>
  <c r="G846" i="4"/>
  <c r="E846" i="4" s="1"/>
  <c r="G438" i="4"/>
  <c r="E438" i="4" s="1"/>
  <c r="G450" i="4"/>
  <c r="E450" i="4" s="1"/>
  <c r="H472" i="4"/>
  <c r="G494" i="4"/>
  <c r="E494" i="4" s="1"/>
  <c r="G526" i="4"/>
  <c r="E526" i="4" s="1"/>
  <c r="H578" i="4"/>
  <c r="G578" i="4"/>
  <c r="E578" i="4" s="1"/>
  <c r="H602" i="4"/>
  <c r="G602" i="4"/>
  <c r="E602" i="4" s="1"/>
  <c r="H626" i="4"/>
  <c r="G626" i="4"/>
  <c r="E626" i="4" s="1"/>
  <c r="H650" i="4"/>
  <c r="G650" i="4"/>
  <c r="E650" i="4" s="1"/>
  <c r="G677" i="4"/>
  <c r="E677" i="4" s="1"/>
  <c r="G709" i="4"/>
  <c r="E709" i="4" s="1"/>
  <c r="H709" i="4"/>
  <c r="H603" i="4"/>
  <c r="G603" i="4"/>
  <c r="E603" i="4" s="1"/>
  <c r="H627" i="4"/>
  <c r="G627" i="4"/>
  <c r="E627" i="4" s="1"/>
  <c r="H651" i="4"/>
  <c r="G651" i="4"/>
  <c r="E651" i="4" s="1"/>
  <c r="H680" i="4"/>
  <c r="G680" i="4"/>
  <c r="E680" i="4" s="1"/>
  <c r="H688" i="4"/>
  <c r="G688" i="4"/>
  <c r="E688" i="4" s="1"/>
  <c r="H713" i="4"/>
  <c r="G713" i="4"/>
  <c r="E713" i="4" s="1"/>
  <c r="H866" i="4"/>
  <c r="G866" i="4"/>
  <c r="E866" i="4" s="1"/>
  <c r="G477" i="4"/>
  <c r="E477" i="4" s="1"/>
  <c r="H543" i="4"/>
  <c r="G543" i="4"/>
  <c r="E543" i="4" s="1"/>
  <c r="H554" i="4"/>
  <c r="G554" i="4"/>
  <c r="E554" i="4" s="1"/>
  <c r="H557" i="4"/>
  <c r="G557" i="4"/>
  <c r="E557" i="4" s="1"/>
  <c r="G599" i="4"/>
  <c r="E599" i="4" s="1"/>
  <c r="G620" i="4"/>
  <c r="E620" i="4" s="1"/>
  <c r="G623" i="4"/>
  <c r="E623" i="4" s="1"/>
  <c r="H695" i="4"/>
  <c r="G695" i="4"/>
  <c r="E695" i="4" s="1"/>
  <c r="H720" i="4"/>
  <c r="G720" i="4"/>
  <c r="E720" i="4" s="1"/>
  <c r="H731" i="4"/>
  <c r="G731" i="4"/>
  <c r="E731" i="4" s="1"/>
  <c r="H743" i="4"/>
  <c r="G743" i="4"/>
  <c r="E743" i="4" s="1"/>
  <c r="H754" i="4"/>
  <c r="G754" i="4"/>
  <c r="E754" i="4" s="1"/>
  <c r="H774" i="4"/>
  <c r="G774" i="4"/>
  <c r="E774" i="4" s="1"/>
  <c r="H786" i="4"/>
  <c r="G786" i="4"/>
  <c r="E786" i="4" s="1"/>
  <c r="H798" i="4"/>
  <c r="G798" i="4"/>
  <c r="E798" i="4" s="1"/>
  <c r="H793" i="4"/>
  <c r="H796" i="4"/>
  <c r="G796" i="4"/>
  <c r="E796" i="4" s="1"/>
  <c r="H800" i="4"/>
  <c r="G800" i="4"/>
  <c r="E800" i="4" s="1"/>
  <c r="G803" i="4"/>
  <c r="E803" i="4" s="1"/>
  <c r="H820" i="4"/>
  <c r="G820" i="4"/>
  <c r="E820" i="4" s="1"/>
  <c r="H824" i="4"/>
  <c r="G824" i="4"/>
  <c r="E824" i="4" s="1"/>
  <c r="G882" i="4"/>
  <c r="E882" i="4" s="1"/>
  <c r="H904" i="4"/>
  <c r="G904" i="4"/>
  <c r="E904" i="4" s="1"/>
  <c r="H915" i="4"/>
  <c r="G915" i="4"/>
  <c r="E915" i="4" s="1"/>
  <c r="H938" i="4"/>
  <c r="G938" i="4"/>
  <c r="E938" i="4" s="1"/>
  <c r="H790" i="4"/>
  <c r="G790" i="4"/>
  <c r="E790" i="4" s="1"/>
  <c r="H814" i="4"/>
  <c r="G814" i="4"/>
  <c r="E814" i="4" s="1"/>
  <c r="H863" i="4"/>
  <c r="G863" i="4"/>
  <c r="E863" i="4" s="1"/>
  <c r="H969" i="4"/>
  <c r="G969" i="4"/>
  <c r="E969" i="4" s="1"/>
  <c r="H986" i="4"/>
  <c r="G986" i="4"/>
  <c r="E986" i="4" s="1"/>
  <c r="G708" i="4"/>
  <c r="E708" i="4" s="1"/>
  <c r="H737" i="4"/>
  <c r="G737" i="4"/>
  <c r="E737" i="4" s="1"/>
  <c r="H748" i="4"/>
  <c r="G748" i="4"/>
  <c r="E748" i="4" s="1"/>
  <c r="H760" i="4"/>
  <c r="G760" i="4"/>
  <c r="E760" i="4" s="1"/>
  <c r="H763" i="4"/>
  <c r="H769" i="4"/>
  <c r="H772" i="4"/>
  <c r="G772" i="4"/>
  <c r="E772" i="4" s="1"/>
  <c r="G778" i="4"/>
  <c r="E778" i="4" s="1"/>
  <c r="H781" i="4"/>
  <c r="H784" i="4"/>
  <c r="G784" i="4"/>
  <c r="E784" i="4" s="1"/>
  <c r="H787" i="4"/>
  <c r="H939" i="4"/>
  <c r="G939" i="4"/>
  <c r="E939" i="4" s="1"/>
  <c r="H836" i="4"/>
  <c r="G836" i="4"/>
  <c r="E836" i="4" s="1"/>
  <c r="H851" i="4"/>
  <c r="G851" i="4"/>
  <c r="E851" i="4" s="1"/>
  <c r="G859" i="4"/>
  <c r="E859" i="4" s="1"/>
  <c r="H1005" i="4"/>
  <c r="G1005" i="4"/>
  <c r="E1005" i="4" s="1"/>
  <c r="H832" i="4"/>
  <c r="G832" i="4"/>
  <c r="E832" i="4" s="1"/>
  <c r="H957" i="4"/>
  <c r="G957" i="4"/>
  <c r="E957" i="4" s="1"/>
  <c r="G735" i="4"/>
  <c r="E735" i="4" s="1"/>
  <c r="G746" i="4"/>
  <c r="E746" i="4" s="1"/>
  <c r="G758" i="4"/>
  <c r="E758" i="4" s="1"/>
  <c r="G770" i="4"/>
  <c r="E770" i="4" s="1"/>
  <c r="H805" i="4"/>
  <c r="H808" i="4"/>
  <c r="G808" i="4"/>
  <c r="E808" i="4" s="1"/>
  <c r="H812" i="4"/>
  <c r="G812" i="4"/>
  <c r="E812" i="4" s="1"/>
  <c r="H837" i="4"/>
  <c r="G837" i="4"/>
  <c r="E837" i="4" s="1"/>
  <c r="G840" i="4"/>
  <c r="E840" i="4" s="1"/>
  <c r="H847" i="4"/>
  <c r="H887" i="4"/>
  <c r="G887" i="4"/>
  <c r="E887" i="4" s="1"/>
  <c r="H830" i="4"/>
  <c r="G830" i="4"/>
  <c r="E830" i="4" s="1"/>
  <c r="H848" i="4"/>
  <c r="G848" i="4"/>
  <c r="E848" i="4" s="1"/>
  <c r="H860" i="4"/>
  <c r="H875" i="4"/>
  <c r="G875" i="4"/>
  <c r="E875" i="4" s="1"/>
  <c r="H802" i="4"/>
  <c r="G802" i="4"/>
  <c r="E802" i="4" s="1"/>
  <c r="H826" i="4"/>
  <c r="G826" i="4"/>
  <c r="E826" i="4" s="1"/>
  <c r="H844" i="4"/>
  <c r="G844" i="4"/>
  <c r="E844" i="4" s="1"/>
  <c r="H861" i="4"/>
  <c r="G861" i="4"/>
  <c r="E861" i="4" s="1"/>
  <c r="H909" i="4"/>
  <c r="G909" i="4"/>
  <c r="E909" i="4" s="1"/>
  <c r="H921" i="4"/>
  <c r="G921" i="4"/>
  <c r="E921" i="4" s="1"/>
  <c r="H926" i="4"/>
  <c r="G926" i="4"/>
  <c r="E926" i="4" s="1"/>
  <c r="H993" i="4"/>
  <c r="G993" i="4"/>
  <c r="E993" i="4" s="1"/>
  <c r="G565" i="4"/>
  <c r="E565" i="4" s="1"/>
  <c r="G577" i="4"/>
  <c r="E577" i="4" s="1"/>
  <c r="G601" i="4"/>
  <c r="E601" i="4" s="1"/>
  <c r="G637" i="4"/>
  <c r="E637" i="4" s="1"/>
  <c r="G661" i="4"/>
  <c r="E661" i="4" s="1"/>
  <c r="G727" i="4"/>
  <c r="E727" i="4" s="1"/>
  <c r="G733" i="4"/>
  <c r="E733" i="4" s="1"/>
  <c r="G745" i="4"/>
  <c r="E745" i="4" s="1"/>
  <c r="G756" i="4"/>
  <c r="E756" i="4" s="1"/>
  <c r="G768" i="4"/>
  <c r="E768" i="4" s="1"/>
  <c r="H842" i="4"/>
  <c r="G842" i="4"/>
  <c r="E842" i="4" s="1"/>
  <c r="H862" i="4"/>
  <c r="G862" i="4"/>
  <c r="E862" i="4" s="1"/>
  <c r="H927" i="4"/>
  <c r="G927" i="4"/>
  <c r="E927" i="4" s="1"/>
  <c r="H742" i="4"/>
  <c r="H753" i="4"/>
  <c r="H765" i="4"/>
  <c r="H838" i="4"/>
  <c r="G838" i="4"/>
  <c r="E838" i="4" s="1"/>
  <c r="H854" i="4"/>
  <c r="G854" i="4"/>
  <c r="E854" i="4" s="1"/>
  <c r="H867" i="4"/>
  <c r="G867" i="4"/>
  <c r="E867" i="4" s="1"/>
  <c r="H903" i="4"/>
  <c r="G903" i="4"/>
  <c r="E903" i="4" s="1"/>
  <c r="H914" i="4"/>
  <c r="G914" i="4"/>
  <c r="E914" i="4" s="1"/>
  <c r="G896" i="4"/>
  <c r="E896" i="4" s="1"/>
  <c r="G947" i="4"/>
  <c r="E947" i="4" s="1"/>
  <c r="H992" i="4"/>
  <c r="G992" i="4"/>
  <c r="E992" i="4" s="1"/>
  <c r="G995" i="4"/>
  <c r="E995" i="4" s="1"/>
  <c r="H1058" i="4"/>
  <c r="G1058" i="4"/>
  <c r="E1058" i="4" s="1"/>
  <c r="H929" i="4"/>
  <c r="G929" i="4"/>
  <c r="E929" i="4" s="1"/>
  <c r="H948" i="4"/>
  <c r="G948" i="4"/>
  <c r="E948" i="4" s="1"/>
  <c r="H981" i="4"/>
  <c r="G981" i="4"/>
  <c r="E981" i="4" s="1"/>
  <c r="H996" i="4"/>
  <c r="G996" i="4"/>
  <c r="E996" i="4" s="1"/>
  <c r="H1015" i="4"/>
  <c r="G1015" i="4"/>
  <c r="E1015" i="4" s="1"/>
  <c r="H1022" i="4"/>
  <c r="G1022" i="4"/>
  <c r="E1022" i="4" s="1"/>
  <c r="H1034" i="4"/>
  <c r="G1034" i="4"/>
  <c r="E1034" i="4" s="1"/>
  <c r="H1038" i="4"/>
  <c r="G1038" i="4"/>
  <c r="E1038" i="4" s="1"/>
  <c r="H1082" i="4"/>
  <c r="G1082" i="4"/>
  <c r="E1082" i="4" s="1"/>
  <c r="G1096" i="4"/>
  <c r="E1096" i="4" s="1"/>
  <c r="H1096" i="4"/>
  <c r="H932" i="4"/>
  <c r="G932" i="4"/>
  <c r="E932" i="4" s="1"/>
  <c r="H963" i="4"/>
  <c r="G963" i="4"/>
  <c r="E963" i="4" s="1"/>
  <c r="H967" i="4"/>
  <c r="G967" i="4"/>
  <c r="E967" i="4" s="1"/>
  <c r="H974" i="4"/>
  <c r="G974" i="4"/>
  <c r="E974" i="4" s="1"/>
  <c r="H989" i="4"/>
  <c r="G989" i="4"/>
  <c r="E989" i="4" s="1"/>
  <c r="H1011" i="4"/>
  <c r="G1011" i="4"/>
  <c r="E1011" i="4" s="1"/>
  <c r="H1046" i="4"/>
  <c r="G1046" i="4"/>
  <c r="E1046" i="4" s="1"/>
  <c r="H1054" i="4"/>
  <c r="G1054" i="4"/>
  <c r="E1054" i="4" s="1"/>
  <c r="G1072" i="4"/>
  <c r="E1072" i="4" s="1"/>
  <c r="H1072" i="4"/>
  <c r="G935" i="4"/>
  <c r="E935" i="4" s="1"/>
  <c r="G942" i="4"/>
  <c r="E942" i="4" s="1"/>
  <c r="H956" i="4"/>
  <c r="G956" i="4"/>
  <c r="E956" i="4" s="1"/>
  <c r="G959" i="4"/>
  <c r="E959" i="4" s="1"/>
  <c r="H1004" i="4"/>
  <c r="G1004" i="4"/>
  <c r="E1004" i="4" s="1"/>
  <c r="G1007" i="4"/>
  <c r="E1007" i="4" s="1"/>
  <c r="H1027" i="4"/>
  <c r="G1027" i="4"/>
  <c r="E1027" i="4" s="1"/>
  <c r="G1181" i="4"/>
  <c r="E1181" i="4" s="1"/>
  <c r="H1181" i="4"/>
  <c r="H1221" i="4"/>
  <c r="G1221" i="4"/>
  <c r="E1221" i="4" s="1"/>
  <c r="G897" i="4"/>
  <c r="E897" i="4" s="1"/>
  <c r="H960" i="4"/>
  <c r="G960" i="4"/>
  <c r="E960" i="4" s="1"/>
  <c r="H1008" i="4"/>
  <c r="G1008" i="4"/>
  <c r="E1008" i="4" s="1"/>
  <c r="H1023" i="4"/>
  <c r="G1023" i="4"/>
  <c r="E1023" i="4" s="1"/>
  <c r="G1088" i="4"/>
  <c r="E1088" i="4" s="1"/>
  <c r="H1088" i="4"/>
  <c r="G873" i="4"/>
  <c r="E873" i="4" s="1"/>
  <c r="G885" i="4"/>
  <c r="E885" i="4" s="1"/>
  <c r="H908" i="4"/>
  <c r="G908" i="4"/>
  <c r="E908" i="4" s="1"/>
  <c r="H920" i="4"/>
  <c r="G920" i="4"/>
  <c r="E920" i="4" s="1"/>
  <c r="H953" i="4"/>
  <c r="G953" i="4"/>
  <c r="E953" i="4" s="1"/>
  <c r="H975" i="4"/>
  <c r="G975" i="4"/>
  <c r="E975" i="4" s="1"/>
  <c r="H979" i="4"/>
  <c r="G979" i="4"/>
  <c r="E979" i="4" s="1"/>
  <c r="G997" i="4"/>
  <c r="E997" i="4" s="1"/>
  <c r="H1001" i="4"/>
  <c r="G1001" i="4"/>
  <c r="E1001" i="4" s="1"/>
  <c r="H1016" i="4"/>
  <c r="G1016" i="4"/>
  <c r="E1016" i="4" s="1"/>
  <c r="G1064" i="4"/>
  <c r="E1064" i="4" s="1"/>
  <c r="H1064" i="4"/>
  <c r="G923" i="4"/>
  <c r="E923" i="4" s="1"/>
  <c r="G930" i="4"/>
  <c r="E930" i="4" s="1"/>
  <c r="H968" i="4"/>
  <c r="G968" i="4"/>
  <c r="E968" i="4" s="1"/>
  <c r="G990" i="4"/>
  <c r="E990" i="4" s="1"/>
  <c r="H1020" i="4"/>
  <c r="G1020" i="4"/>
  <c r="E1020" i="4" s="1"/>
  <c r="H1074" i="4"/>
  <c r="G1074" i="4"/>
  <c r="E1074" i="4" s="1"/>
  <c r="H1098" i="4"/>
  <c r="G1098" i="4"/>
  <c r="E1098" i="4" s="1"/>
  <c r="G933" i="4"/>
  <c r="E933" i="4" s="1"/>
  <c r="H946" i="4"/>
  <c r="H972" i="4"/>
  <c r="G972" i="4"/>
  <c r="E972" i="4" s="1"/>
  <c r="H1028" i="4"/>
  <c r="G1028" i="4"/>
  <c r="E1028" i="4" s="1"/>
  <c r="H1032" i="4"/>
  <c r="G1032" i="4"/>
  <c r="E1032" i="4" s="1"/>
  <c r="G1120" i="4"/>
  <c r="E1120" i="4" s="1"/>
  <c r="H1120" i="4"/>
  <c r="H1195" i="4"/>
  <c r="G1195" i="4"/>
  <c r="E1195" i="4" s="1"/>
  <c r="G864" i="4"/>
  <c r="E864" i="4" s="1"/>
  <c r="G888" i="4"/>
  <c r="E888" i="4" s="1"/>
  <c r="H950" i="4"/>
  <c r="G950" i="4"/>
  <c r="E950" i="4" s="1"/>
  <c r="H965" i="4"/>
  <c r="G965" i="4"/>
  <c r="E965" i="4" s="1"/>
  <c r="H987" i="4"/>
  <c r="G987" i="4"/>
  <c r="E987" i="4" s="1"/>
  <c r="H991" i="4"/>
  <c r="G991" i="4"/>
  <c r="E991" i="4" s="1"/>
  <c r="H998" i="4"/>
  <c r="G998" i="4"/>
  <c r="E998" i="4" s="1"/>
  <c r="H1013" i="4"/>
  <c r="G1013" i="4"/>
  <c r="E1013" i="4" s="1"/>
  <c r="G1112" i="4"/>
  <c r="E1112" i="4" s="1"/>
  <c r="H1112" i="4"/>
  <c r="G869" i="4"/>
  <c r="E869" i="4" s="1"/>
  <c r="G881" i="4"/>
  <c r="E881" i="4" s="1"/>
  <c r="G893" i="4"/>
  <c r="E893" i="4" s="1"/>
  <c r="G918" i="4"/>
  <c r="E918" i="4" s="1"/>
  <c r="G976" i="4"/>
  <c r="E976" i="4" s="1"/>
  <c r="H980" i="4"/>
  <c r="G980" i="4"/>
  <c r="E980" i="4" s="1"/>
  <c r="H1017" i="4"/>
  <c r="G1017" i="4"/>
  <c r="E1017" i="4" s="1"/>
  <c r="H1033" i="4"/>
  <c r="G1033" i="4"/>
  <c r="E1033" i="4" s="1"/>
  <c r="H1037" i="4"/>
  <c r="G1037" i="4"/>
  <c r="E1037" i="4" s="1"/>
  <c r="H1066" i="4"/>
  <c r="G1066" i="4"/>
  <c r="E1066" i="4" s="1"/>
  <c r="G1080" i="4"/>
  <c r="E1080" i="4" s="1"/>
  <c r="H1080" i="4"/>
  <c r="H1090" i="4"/>
  <c r="G1090" i="4"/>
  <c r="E1090" i="4" s="1"/>
  <c r="G1104" i="4"/>
  <c r="E1104" i="4" s="1"/>
  <c r="H1104" i="4"/>
  <c r="H1175" i="4"/>
  <c r="G1175" i="4"/>
  <c r="E1175" i="4" s="1"/>
  <c r="H1205" i="4"/>
  <c r="G1205" i="4"/>
  <c r="E1205" i="4" s="1"/>
  <c r="G901" i="4"/>
  <c r="E901" i="4" s="1"/>
  <c r="H934" i="4"/>
  <c r="H941" i="4"/>
  <c r="G941" i="4"/>
  <c r="E941" i="4" s="1"/>
  <c r="H958" i="4"/>
  <c r="H984" i="4"/>
  <c r="G984" i="4"/>
  <c r="E984" i="4" s="1"/>
  <c r="H1006" i="4"/>
  <c r="G1021" i="4"/>
  <c r="E1021" i="4" s="1"/>
  <c r="H1025" i="4"/>
  <c r="G1025" i="4"/>
  <c r="E1025" i="4" s="1"/>
  <c r="H1041" i="4"/>
  <c r="G1041" i="4"/>
  <c r="E1041" i="4" s="1"/>
  <c r="H1049" i="4"/>
  <c r="G1049" i="4"/>
  <c r="E1049" i="4" s="1"/>
  <c r="H1057" i="4"/>
  <c r="G1057" i="4"/>
  <c r="E1057" i="4" s="1"/>
  <c r="G931" i="4"/>
  <c r="E931" i="4" s="1"/>
  <c r="H944" i="4"/>
  <c r="G944" i="4"/>
  <c r="E944" i="4" s="1"/>
  <c r="H951" i="4"/>
  <c r="G951" i="4"/>
  <c r="E951" i="4" s="1"/>
  <c r="H955" i="4"/>
  <c r="G955" i="4"/>
  <c r="E955" i="4" s="1"/>
  <c r="H962" i="4"/>
  <c r="G962" i="4"/>
  <c r="E962" i="4" s="1"/>
  <c r="H977" i="4"/>
  <c r="G977" i="4"/>
  <c r="E977" i="4" s="1"/>
  <c r="H999" i="4"/>
  <c r="G999" i="4"/>
  <c r="E999" i="4" s="1"/>
  <c r="H1003" i="4"/>
  <c r="G1003" i="4"/>
  <c r="E1003" i="4" s="1"/>
  <c r="H1010" i="4"/>
  <c r="G1010" i="4"/>
  <c r="E1010" i="4" s="1"/>
  <c r="H1029" i="4"/>
  <c r="G1029" i="4"/>
  <c r="E1029" i="4" s="1"/>
  <c r="G1143" i="4"/>
  <c r="E1143" i="4" s="1"/>
  <c r="H1143" i="4"/>
  <c r="H1163" i="4"/>
  <c r="G1163" i="4"/>
  <c r="E1163" i="4" s="1"/>
  <c r="H1213" i="4"/>
  <c r="G1213" i="4"/>
  <c r="E1213" i="4" s="1"/>
  <c r="H1259" i="4"/>
  <c r="G1259" i="4"/>
  <c r="E1259" i="4" s="1"/>
  <c r="G1308" i="4"/>
  <c r="E1308" i="4" s="1"/>
  <c r="H1308" i="4"/>
  <c r="G1062" i="4"/>
  <c r="E1062" i="4" s="1"/>
  <c r="G1070" i="4"/>
  <c r="E1070" i="4" s="1"/>
  <c r="G1078" i="4"/>
  <c r="E1078" i="4" s="1"/>
  <c r="G1086" i="4"/>
  <c r="E1086" i="4" s="1"/>
  <c r="G1094" i="4"/>
  <c r="E1094" i="4" s="1"/>
  <c r="G1102" i="4"/>
  <c r="E1102" i="4" s="1"/>
  <c r="G1110" i="4"/>
  <c r="E1110" i="4" s="1"/>
  <c r="G1118" i="4"/>
  <c r="E1118" i="4" s="1"/>
  <c r="H1151" i="4"/>
  <c r="H1157" i="4"/>
  <c r="G1183" i="4"/>
  <c r="E1183" i="4" s="1"/>
  <c r="H1227" i="4"/>
  <c r="G1227" i="4"/>
  <c r="E1227" i="4" s="1"/>
  <c r="H1237" i="4"/>
  <c r="G1237" i="4"/>
  <c r="E1237" i="4" s="1"/>
  <c r="H1251" i="4"/>
  <c r="G1251" i="4"/>
  <c r="E1251" i="4" s="1"/>
  <c r="H1291" i="4"/>
  <c r="G1291" i="4"/>
  <c r="E1291" i="4" s="1"/>
  <c r="G1145" i="4"/>
  <c r="E1145" i="4" s="1"/>
  <c r="H1174" i="4"/>
  <c r="G1174" i="4"/>
  <c r="E1174" i="4" s="1"/>
  <c r="G1184" i="4"/>
  <c r="E1184" i="4" s="1"/>
  <c r="H1184" i="4"/>
  <c r="H1197" i="4"/>
  <c r="G1197" i="4"/>
  <c r="E1197" i="4" s="1"/>
  <c r="H1206" i="4"/>
  <c r="G1206" i="4"/>
  <c r="E1206" i="4" s="1"/>
  <c r="H1223" i="4"/>
  <c r="G1223" i="4"/>
  <c r="E1223" i="4" s="1"/>
  <c r="G1065" i="4"/>
  <c r="E1065" i="4" s="1"/>
  <c r="G1073" i="4"/>
  <c r="E1073" i="4" s="1"/>
  <c r="G1081" i="4"/>
  <c r="E1081" i="4" s="1"/>
  <c r="H1187" i="4"/>
  <c r="G1187" i="4"/>
  <c r="E1187" i="4" s="1"/>
  <c r="H1198" i="4"/>
  <c r="G1198" i="4"/>
  <c r="E1198" i="4" s="1"/>
  <c r="H1219" i="4"/>
  <c r="G1219" i="4"/>
  <c r="E1219" i="4" s="1"/>
  <c r="G1332" i="4"/>
  <c r="E1332" i="4" s="1"/>
  <c r="H1332" i="4"/>
  <c r="G1076" i="4"/>
  <c r="E1076" i="4" s="1"/>
  <c r="G1084" i="4"/>
  <c r="E1084" i="4" s="1"/>
  <c r="G1100" i="4"/>
  <c r="E1100" i="4" s="1"/>
  <c r="H1215" i="4"/>
  <c r="G1215" i="4"/>
  <c r="E1215" i="4" s="1"/>
  <c r="H1243" i="4"/>
  <c r="G1243" i="4"/>
  <c r="E1243" i="4" s="1"/>
  <c r="H1261" i="4"/>
  <c r="G1261" i="4"/>
  <c r="E1261" i="4" s="1"/>
  <c r="H1315" i="4"/>
  <c r="G1315" i="4"/>
  <c r="E1315" i="4" s="1"/>
  <c r="H1211" i="4"/>
  <c r="G1211" i="4"/>
  <c r="E1211" i="4" s="1"/>
  <c r="H1229" i="4"/>
  <c r="G1229" i="4"/>
  <c r="E1229" i="4" s="1"/>
  <c r="G1356" i="4"/>
  <c r="E1356" i="4" s="1"/>
  <c r="H1356" i="4"/>
  <c r="G1047" i="4"/>
  <c r="E1047" i="4" s="1"/>
  <c r="G1055" i="4"/>
  <c r="E1055" i="4" s="1"/>
  <c r="G1063" i="4"/>
  <c r="E1063" i="4" s="1"/>
  <c r="G1071" i="4"/>
  <c r="E1071" i="4" s="1"/>
  <c r="G1079" i="4"/>
  <c r="E1079" i="4" s="1"/>
  <c r="G1087" i="4"/>
  <c r="E1087" i="4" s="1"/>
  <c r="G1103" i="4"/>
  <c r="E1103" i="4" s="1"/>
  <c r="G1111" i="4"/>
  <c r="E1111" i="4" s="1"/>
  <c r="G1119" i="4"/>
  <c r="E1119" i="4" s="1"/>
  <c r="G1127" i="4"/>
  <c r="E1127" i="4" s="1"/>
  <c r="G1135" i="4"/>
  <c r="E1135" i="4" s="1"/>
  <c r="H1150" i="4"/>
  <c r="G1150" i="4"/>
  <c r="E1150" i="4" s="1"/>
  <c r="H1207" i="4"/>
  <c r="G1207" i="4"/>
  <c r="E1207" i="4" s="1"/>
  <c r="H1253" i="4"/>
  <c r="G1253" i="4"/>
  <c r="E1253" i="4" s="1"/>
  <c r="G1042" i="4"/>
  <c r="E1042" i="4" s="1"/>
  <c r="G1050" i="4"/>
  <c r="E1050" i="4" s="1"/>
  <c r="G1106" i="4"/>
  <c r="E1106" i="4" s="1"/>
  <c r="G1114" i="4"/>
  <c r="E1114" i="4" s="1"/>
  <c r="G1122" i="4"/>
  <c r="E1122" i="4" s="1"/>
  <c r="G1130" i="4"/>
  <c r="E1130" i="4" s="1"/>
  <c r="G1165" i="4"/>
  <c r="E1165" i="4" s="1"/>
  <c r="H1199" i="4"/>
  <c r="G1199" i="4"/>
  <c r="E1199" i="4" s="1"/>
  <c r="H1203" i="4"/>
  <c r="G1203" i="4"/>
  <c r="E1203" i="4" s="1"/>
  <c r="H1339" i="4"/>
  <c r="G1339" i="4"/>
  <c r="E1339" i="4" s="1"/>
  <c r="G1153" i="4"/>
  <c r="E1153" i="4" s="1"/>
  <c r="H1235" i="4"/>
  <c r="G1235" i="4"/>
  <c r="E1235" i="4" s="1"/>
  <c r="G1045" i="4"/>
  <c r="E1045" i="4" s="1"/>
  <c r="G1053" i="4"/>
  <c r="E1053" i="4" s="1"/>
  <c r="G1061" i="4"/>
  <c r="E1061" i="4" s="1"/>
  <c r="G1069" i="4"/>
  <c r="E1069" i="4" s="1"/>
  <c r="G1077" i="4"/>
  <c r="E1077" i="4" s="1"/>
  <c r="G1085" i="4"/>
  <c r="E1085" i="4" s="1"/>
  <c r="G1093" i="4"/>
  <c r="E1093" i="4" s="1"/>
  <c r="G1101" i="4"/>
  <c r="E1101" i="4" s="1"/>
  <c r="G1109" i="4"/>
  <c r="E1109" i="4" s="1"/>
  <c r="G1125" i="4"/>
  <c r="E1125" i="4" s="1"/>
  <c r="G1133" i="4"/>
  <c r="E1133" i="4" s="1"/>
  <c r="G1141" i="4"/>
  <c r="E1141" i="4" s="1"/>
  <c r="H1147" i="4"/>
  <c r="H1245" i="4"/>
  <c r="G1245" i="4"/>
  <c r="E1245" i="4" s="1"/>
  <c r="H1363" i="4"/>
  <c r="G1363" i="4"/>
  <c r="E1363" i="4" s="1"/>
  <c r="G1217" i="4"/>
  <c r="E1217" i="4" s="1"/>
  <c r="G1307" i="4"/>
  <c r="E1307" i="4" s="1"/>
  <c r="H1314" i="4"/>
  <c r="H1338" i="4"/>
  <c r="H1362" i="4"/>
  <c r="H1412" i="4"/>
  <c r="G1412" i="4"/>
  <c r="E1412" i="4" s="1"/>
  <c r="G1426" i="4"/>
  <c r="E1426" i="4" s="1"/>
  <c r="H1426" i="4"/>
  <c r="H1440" i="4"/>
  <c r="G1440" i="4"/>
  <c r="E1440" i="4" s="1"/>
  <c r="H1447" i="4"/>
  <c r="G1447" i="4"/>
  <c r="E1447" i="4" s="1"/>
  <c r="H1480" i="4"/>
  <c r="G1480" i="4"/>
  <c r="E1480" i="4" s="1"/>
  <c r="H1484" i="4"/>
  <c r="G1484" i="4"/>
  <c r="E1484" i="4" s="1"/>
  <c r="G1575" i="4"/>
  <c r="E1575" i="4" s="1"/>
  <c r="H1575" i="4"/>
  <c r="G1469" i="4"/>
  <c r="E1469" i="4" s="1"/>
  <c r="H1469" i="4"/>
  <c r="H1477" i="4"/>
  <c r="G1477" i="4"/>
  <c r="E1477" i="4" s="1"/>
  <c r="G1516" i="4"/>
  <c r="E1516" i="4" s="1"/>
  <c r="H1516" i="4"/>
  <c r="G1287" i="4"/>
  <c r="E1287" i="4" s="1"/>
  <c r="G1311" i="4"/>
  <c r="E1311" i="4" s="1"/>
  <c r="G1335" i="4"/>
  <c r="E1335" i="4" s="1"/>
  <c r="G1359" i="4"/>
  <c r="E1359" i="4" s="1"/>
  <c r="G1383" i="4"/>
  <c r="E1383" i="4" s="1"/>
  <c r="H1463" i="4"/>
  <c r="G1463" i="4"/>
  <c r="E1463" i="4" s="1"/>
  <c r="G1485" i="4"/>
  <c r="E1485" i="4" s="1"/>
  <c r="H1485" i="4"/>
  <c r="H1529" i="4"/>
  <c r="G1529" i="4"/>
  <c r="E1529" i="4" s="1"/>
  <c r="G1533" i="4"/>
  <c r="E1533" i="4" s="1"/>
  <c r="H1533" i="4"/>
  <c r="G1537" i="4"/>
  <c r="E1537" i="4" s="1"/>
  <c r="H1537" i="4"/>
  <c r="H1380" i="4"/>
  <c r="H1403" i="4"/>
  <c r="G1403" i="4"/>
  <c r="E1403" i="4" s="1"/>
  <c r="H1433" i="4"/>
  <c r="G1433" i="4"/>
  <c r="E1433" i="4" s="1"/>
  <c r="H1456" i="4"/>
  <c r="G1456" i="4"/>
  <c r="E1456" i="4" s="1"/>
  <c r="H1470" i="4"/>
  <c r="G1470" i="4"/>
  <c r="E1470" i="4" s="1"/>
  <c r="G1517" i="4"/>
  <c r="E1517" i="4" s="1"/>
  <c r="H1517" i="4"/>
  <c r="H1525" i="4"/>
  <c r="G1525" i="4"/>
  <c r="E1525" i="4" s="1"/>
  <c r="H1571" i="4"/>
  <c r="G1571" i="4"/>
  <c r="E1571" i="4" s="1"/>
  <c r="G1210" i="4"/>
  <c r="E1210" i="4" s="1"/>
  <c r="G1218" i="4"/>
  <c r="E1218" i="4" s="1"/>
  <c r="G1231" i="4"/>
  <c r="E1231" i="4" s="1"/>
  <c r="G1234" i="4"/>
  <c r="E1234" i="4" s="1"/>
  <c r="G1239" i="4"/>
  <c r="E1239" i="4" s="1"/>
  <c r="G1242" i="4"/>
  <c r="E1242" i="4" s="1"/>
  <c r="G1247" i="4"/>
  <c r="E1247" i="4" s="1"/>
  <c r="H1298" i="4"/>
  <c r="H1322" i="4"/>
  <c r="H1370" i="4"/>
  <c r="H1400" i="4"/>
  <c r="H1486" i="4"/>
  <c r="G1486" i="4"/>
  <c r="E1486" i="4" s="1"/>
  <c r="H1521" i="4"/>
  <c r="G1521" i="4"/>
  <c r="E1521" i="4" s="1"/>
  <c r="G1577" i="4"/>
  <c r="E1577" i="4" s="1"/>
  <c r="H1577" i="4"/>
  <c r="G1305" i="4"/>
  <c r="E1305" i="4" s="1"/>
  <c r="G1329" i="4"/>
  <c r="E1329" i="4" s="1"/>
  <c r="H1336" i="4"/>
  <c r="G1353" i="4"/>
  <c r="E1353" i="4" s="1"/>
  <c r="H1360" i="4"/>
  <c r="H1388" i="4"/>
  <c r="G1388" i="4"/>
  <c r="E1388" i="4" s="1"/>
  <c r="H1409" i="4"/>
  <c r="G1427" i="4"/>
  <c r="E1427" i="4" s="1"/>
  <c r="H1430" i="4"/>
  <c r="H1460" i="4"/>
  <c r="G1554" i="4"/>
  <c r="E1554" i="4" s="1"/>
  <c r="H1554" i="4"/>
  <c r="G1319" i="4"/>
  <c r="E1319" i="4" s="1"/>
  <c r="G1391" i="4"/>
  <c r="E1391" i="4" s="1"/>
  <c r="H1464" i="4"/>
  <c r="G1464" i="4"/>
  <c r="E1464" i="4" s="1"/>
  <c r="H1505" i="4"/>
  <c r="G1505" i="4"/>
  <c r="E1505" i="4" s="1"/>
  <c r="H1593" i="4"/>
  <c r="G1593" i="4"/>
  <c r="E1593" i="4" s="1"/>
  <c r="G1267" i="4"/>
  <c r="E1267" i="4" s="1"/>
  <c r="G1273" i="4"/>
  <c r="E1273" i="4" s="1"/>
  <c r="G1279" i="4"/>
  <c r="E1279" i="4" s="1"/>
  <c r="G1285" i="4"/>
  <c r="E1285" i="4" s="1"/>
  <c r="G1333" i="4"/>
  <c r="E1333" i="4" s="1"/>
  <c r="G1381" i="4"/>
  <c r="E1381" i="4" s="1"/>
  <c r="H1417" i="4"/>
  <c r="G1417" i="4"/>
  <c r="E1417" i="4" s="1"/>
  <c r="H1585" i="4"/>
  <c r="G1585" i="4"/>
  <c r="E1585" i="4" s="1"/>
  <c r="H1601" i="4"/>
  <c r="G1601" i="4"/>
  <c r="E1601" i="4" s="1"/>
  <c r="H1434" i="4"/>
  <c r="G1434" i="4"/>
  <c r="E1434" i="4" s="1"/>
  <c r="H1438" i="4"/>
  <c r="G1438" i="4"/>
  <c r="E1438" i="4" s="1"/>
  <c r="H1449" i="4"/>
  <c r="G1449" i="4"/>
  <c r="E1449" i="4" s="1"/>
  <c r="H1453" i="4"/>
  <c r="G1453" i="4"/>
  <c r="E1453" i="4" s="1"/>
  <c r="H1457" i="4"/>
  <c r="G1457" i="4"/>
  <c r="E1457" i="4" s="1"/>
  <c r="G1506" i="4"/>
  <c r="E1506" i="4" s="1"/>
  <c r="H1506" i="4"/>
  <c r="G1546" i="4"/>
  <c r="E1546" i="4" s="1"/>
  <c r="H1546" i="4"/>
  <c r="H1560" i="4"/>
  <c r="G1560" i="4"/>
  <c r="E1560" i="4" s="1"/>
  <c r="H1573" i="4"/>
  <c r="G1573" i="4"/>
  <c r="E1573" i="4" s="1"/>
  <c r="G1289" i="4"/>
  <c r="E1289" i="4" s="1"/>
  <c r="G1313" i="4"/>
  <c r="E1313" i="4" s="1"/>
  <c r="G1337" i="4"/>
  <c r="E1337" i="4" s="1"/>
  <c r="G1361" i="4"/>
  <c r="E1361" i="4" s="1"/>
  <c r="H1415" i="4"/>
  <c r="G1415" i="4"/>
  <c r="E1415" i="4" s="1"/>
  <c r="H1442" i="4"/>
  <c r="G1442" i="4"/>
  <c r="E1442" i="4" s="1"/>
  <c r="H1479" i="4"/>
  <c r="G1479" i="4"/>
  <c r="E1479" i="4" s="1"/>
  <c r="G1547" i="4"/>
  <c r="E1547" i="4" s="1"/>
  <c r="H1547" i="4"/>
  <c r="G1230" i="4"/>
  <c r="E1230" i="4" s="1"/>
  <c r="G1238" i="4"/>
  <c r="E1238" i="4" s="1"/>
  <c r="G1254" i="4"/>
  <c r="E1254" i="4" s="1"/>
  <c r="H1402" i="4"/>
  <c r="G1402" i="4"/>
  <c r="E1402" i="4" s="1"/>
  <c r="H1439" i="4"/>
  <c r="G1439" i="4"/>
  <c r="E1439" i="4" s="1"/>
  <c r="G1446" i="4"/>
  <c r="E1446" i="4" s="1"/>
  <c r="H1446" i="4"/>
  <c r="H1454" i="4"/>
  <c r="G1454" i="4"/>
  <c r="E1454" i="4" s="1"/>
  <c r="H1499" i="4"/>
  <c r="G1499" i="4"/>
  <c r="E1499" i="4" s="1"/>
  <c r="H1507" i="4"/>
  <c r="G1507" i="4"/>
  <c r="E1507" i="4" s="1"/>
  <c r="H1514" i="4"/>
  <c r="G1514" i="4"/>
  <c r="E1514" i="4" s="1"/>
  <c r="H1523" i="4"/>
  <c r="G1523" i="4"/>
  <c r="E1523" i="4" s="1"/>
  <c r="G1561" i="4"/>
  <c r="E1561" i="4" s="1"/>
  <c r="H1561" i="4"/>
  <c r="G1265" i="4"/>
  <c r="E1265" i="4" s="1"/>
  <c r="G1271" i="4"/>
  <c r="E1271" i="4" s="1"/>
  <c r="G1341" i="4"/>
  <c r="E1341" i="4" s="1"/>
  <c r="G1365" i="4"/>
  <c r="E1365" i="4" s="1"/>
  <c r="G1405" i="4"/>
  <c r="E1405" i="4" s="1"/>
  <c r="H1425" i="4"/>
  <c r="G1425" i="4"/>
  <c r="E1425" i="4" s="1"/>
  <c r="G1450" i="4"/>
  <c r="E1450" i="4" s="1"/>
  <c r="H1450" i="4"/>
  <c r="H1458" i="4"/>
  <c r="G1458" i="4"/>
  <c r="E1458" i="4" s="1"/>
  <c r="H1476" i="4"/>
  <c r="G1476" i="4"/>
  <c r="E1476" i="4" s="1"/>
  <c r="H1492" i="4"/>
  <c r="G1492" i="4"/>
  <c r="E1492" i="4" s="1"/>
  <c r="G1540" i="4"/>
  <c r="E1540" i="4" s="1"/>
  <c r="H1540" i="4"/>
  <c r="G1557" i="4"/>
  <c r="E1557" i="4" s="1"/>
  <c r="H1557" i="4"/>
  <c r="H1576" i="4"/>
  <c r="G1576" i="4"/>
  <c r="E1576" i="4" s="1"/>
  <c r="H1589" i="4"/>
  <c r="G1589" i="4"/>
  <c r="E1589" i="4" s="1"/>
  <c r="G1596" i="4"/>
  <c r="E1596" i="4" s="1"/>
  <c r="H1596" i="4"/>
  <c r="G1622" i="4"/>
  <c r="E1622" i="4" s="1"/>
  <c r="H1622" i="4"/>
  <c r="G1491" i="4"/>
  <c r="E1491" i="4" s="1"/>
  <c r="G1504" i="4"/>
  <c r="E1504" i="4" s="1"/>
  <c r="H1586" i="4"/>
  <c r="G1586" i="4"/>
  <c r="E1586" i="4" s="1"/>
  <c r="G1603" i="4"/>
  <c r="E1603" i="4" s="1"/>
  <c r="G1555" i="4"/>
  <c r="E1555" i="4" s="1"/>
  <c r="G1630" i="4"/>
  <c r="E1630" i="4" s="1"/>
  <c r="H1630" i="4"/>
  <c r="G1494" i="4"/>
  <c r="E1494" i="4" s="1"/>
  <c r="H1530" i="4"/>
  <c r="H1541" i="4"/>
  <c r="G1564" i="4"/>
  <c r="E1564" i="4" s="1"/>
  <c r="H1611" i="4"/>
  <c r="G1678" i="4"/>
  <c r="E1678" i="4" s="1"/>
  <c r="H1678" i="4"/>
  <c r="G1638" i="4"/>
  <c r="E1638" i="4" s="1"/>
  <c r="H1638" i="4"/>
  <c r="G1646" i="4"/>
  <c r="E1646" i="4" s="1"/>
  <c r="H1646" i="4"/>
  <c r="G1662" i="4"/>
  <c r="E1662" i="4" s="1"/>
  <c r="H1662" i="4"/>
  <c r="G1452" i="4"/>
  <c r="E1452" i="4" s="1"/>
  <c r="G1497" i="4"/>
  <c r="E1497" i="4" s="1"/>
  <c r="G1510" i="4"/>
  <c r="E1510" i="4" s="1"/>
  <c r="G1528" i="4"/>
  <c r="E1528" i="4" s="1"/>
  <c r="H1536" i="4"/>
  <c r="G1539" i="4"/>
  <c r="E1539" i="4" s="1"/>
  <c r="H1550" i="4"/>
  <c r="H1587" i="4"/>
  <c r="H1619" i="4"/>
  <c r="G1556" i="4"/>
  <c r="E1556" i="4" s="1"/>
  <c r="G1574" i="4"/>
  <c r="E1574" i="4" s="1"/>
  <c r="H1588" i="4"/>
  <c r="G1588" i="4"/>
  <c r="E1588" i="4" s="1"/>
  <c r="H1609" i="4"/>
  <c r="G1609" i="4"/>
  <c r="E1609" i="4" s="1"/>
  <c r="G1455" i="4"/>
  <c r="E1455" i="4" s="1"/>
  <c r="G1478" i="4"/>
  <c r="E1478" i="4" s="1"/>
  <c r="G1495" i="4"/>
  <c r="E1495" i="4" s="1"/>
  <c r="G1503" i="4"/>
  <c r="E1503" i="4" s="1"/>
  <c r="G1508" i="4"/>
  <c r="E1508" i="4" s="1"/>
  <c r="H1513" i="4"/>
  <c r="H1526" i="4"/>
  <c r="G1545" i="4"/>
  <c r="E1545" i="4" s="1"/>
  <c r="H1598" i="4"/>
  <c r="G1548" i="4"/>
  <c r="E1548" i="4" s="1"/>
  <c r="H1581" i="4"/>
  <c r="G1606" i="4"/>
  <c r="E1606" i="4" s="1"/>
  <c r="H1606" i="4"/>
  <c r="H1635" i="4"/>
  <c r="H1643" i="4"/>
  <c r="G1670" i="4"/>
  <c r="E1670" i="4" s="1"/>
  <c r="H1670" i="4"/>
  <c r="G1614" i="4"/>
  <c r="E1614" i="4" s="1"/>
  <c r="H1614" i="4"/>
  <c r="G1654" i="4"/>
  <c r="E1654" i="4" s="1"/>
  <c r="H1654" i="4"/>
  <c r="H1743" i="4"/>
  <c r="G1743" i="4"/>
  <c r="E1743" i="4" s="1"/>
  <c r="H1769" i="4"/>
  <c r="G1769" i="4"/>
  <c r="E1769" i="4" s="1"/>
  <c r="H1822" i="4"/>
  <c r="G1822" i="4"/>
  <c r="E1822" i="4" s="1"/>
  <c r="H1705" i="4"/>
  <c r="G1705" i="4"/>
  <c r="E1705" i="4" s="1"/>
  <c r="H1718" i="4"/>
  <c r="G1718" i="4"/>
  <c r="E1718" i="4" s="1"/>
  <c r="H1723" i="4"/>
  <c r="G1723" i="4"/>
  <c r="E1723" i="4" s="1"/>
  <c r="G1730" i="4"/>
  <c r="E1730" i="4" s="1"/>
  <c r="H1730" i="4"/>
  <c r="H1756" i="4"/>
  <c r="G1756" i="4"/>
  <c r="E1756" i="4" s="1"/>
  <c r="G1706" i="4"/>
  <c r="E1706" i="4" s="1"/>
  <c r="H1706" i="4"/>
  <c r="H1727" i="4"/>
  <c r="G1727" i="4"/>
  <c r="E1727" i="4" s="1"/>
  <c r="H1744" i="4"/>
  <c r="G1744" i="4"/>
  <c r="E1744" i="4" s="1"/>
  <c r="H1748" i="4"/>
  <c r="G1748" i="4"/>
  <c r="E1748" i="4" s="1"/>
  <c r="H1777" i="4"/>
  <c r="G1777" i="4"/>
  <c r="E1777" i="4" s="1"/>
  <c r="H1719" i="4"/>
  <c r="G1719" i="4"/>
  <c r="E1719" i="4" s="1"/>
  <c r="H1731" i="4"/>
  <c r="G1731" i="4"/>
  <c r="E1731" i="4" s="1"/>
  <c r="H1740" i="4"/>
  <c r="G1740" i="4"/>
  <c r="E1740" i="4" s="1"/>
  <c r="H1757" i="4"/>
  <c r="G1757" i="4"/>
  <c r="E1757" i="4" s="1"/>
  <c r="G1943" i="4"/>
  <c r="E1943" i="4" s="1"/>
  <c r="H1943" i="4"/>
  <c r="H1948" i="4"/>
  <c r="G1948" i="4"/>
  <c r="E1948" i="4" s="1"/>
  <c r="H1686" i="4"/>
  <c r="H1694" i="4"/>
  <c r="H1745" i="4"/>
  <c r="G1745" i="4"/>
  <c r="E1745" i="4" s="1"/>
  <c r="H1761" i="4"/>
  <c r="G1761" i="4"/>
  <c r="E1761" i="4" s="1"/>
  <c r="H1782" i="4"/>
  <c r="G1782" i="4"/>
  <c r="E1782" i="4" s="1"/>
  <c r="G1617" i="4"/>
  <c r="E1617" i="4" s="1"/>
  <c r="G1625" i="4"/>
  <c r="E1625" i="4" s="1"/>
  <c r="G1633" i="4"/>
  <c r="E1633" i="4" s="1"/>
  <c r="G1641" i="4"/>
  <c r="E1641" i="4" s="1"/>
  <c r="H1720" i="4"/>
  <c r="G1720" i="4"/>
  <c r="E1720" i="4" s="1"/>
  <c r="H1724" i="4"/>
  <c r="G1724" i="4"/>
  <c r="E1724" i="4" s="1"/>
  <c r="H1732" i="4"/>
  <c r="G1732" i="4"/>
  <c r="E1732" i="4" s="1"/>
  <c r="H1758" i="4"/>
  <c r="G1758" i="4"/>
  <c r="E1758" i="4" s="1"/>
  <c r="H1762" i="4"/>
  <c r="G1762" i="4"/>
  <c r="E1762" i="4" s="1"/>
  <c r="H1786" i="4"/>
  <c r="G1786" i="4"/>
  <c r="E1786" i="4" s="1"/>
  <c r="H1799" i="4"/>
  <c r="G1799" i="4"/>
  <c r="E1799" i="4" s="1"/>
  <c r="H1808" i="4"/>
  <c r="G1808" i="4"/>
  <c r="E1808" i="4" s="1"/>
  <c r="H1824" i="4"/>
  <c r="G1824" i="4"/>
  <c r="E1824" i="4" s="1"/>
  <c r="H1766" i="4"/>
  <c r="G1766" i="4"/>
  <c r="E1766" i="4" s="1"/>
  <c r="H1771" i="4"/>
  <c r="G1771" i="4"/>
  <c r="E1771" i="4" s="1"/>
  <c r="H1775" i="4"/>
  <c r="G1775" i="4"/>
  <c r="E1775" i="4" s="1"/>
  <c r="H1804" i="4"/>
  <c r="G1804" i="4"/>
  <c r="E1804" i="4" s="1"/>
  <c r="H1604" i="4"/>
  <c r="H1612" i="4"/>
  <c r="H1628" i="4"/>
  <c r="H1636" i="4"/>
  <c r="H1644" i="4"/>
  <c r="H1652" i="4"/>
  <c r="H1668" i="4"/>
  <c r="H1676" i="4"/>
  <c r="H1692" i="4"/>
  <c r="H1701" i="4"/>
  <c r="G1701" i="4"/>
  <c r="E1701" i="4" s="1"/>
  <c r="H1708" i="4"/>
  <c r="G1708" i="4"/>
  <c r="E1708" i="4" s="1"/>
  <c r="H1721" i="4"/>
  <c r="G1721" i="4"/>
  <c r="E1721" i="4" s="1"/>
  <c r="H1733" i="4"/>
  <c r="G1733" i="4"/>
  <c r="E1733" i="4" s="1"/>
  <c r="H1753" i="4"/>
  <c r="G1753" i="4"/>
  <c r="E1753" i="4" s="1"/>
  <c r="H1779" i="4"/>
  <c r="G1779" i="4"/>
  <c r="E1779" i="4" s="1"/>
  <c r="H1800" i="4"/>
  <c r="G1800" i="4"/>
  <c r="E1800" i="4" s="1"/>
  <c r="G1639" i="4"/>
  <c r="E1639" i="4" s="1"/>
  <c r="H1737" i="4"/>
  <c r="G1737" i="4"/>
  <c r="E1737" i="4" s="1"/>
  <c r="H1767" i="4"/>
  <c r="G1767" i="4"/>
  <c r="E1767" i="4" s="1"/>
  <c r="H1698" i="4"/>
  <c r="G1698" i="4"/>
  <c r="E1698" i="4" s="1"/>
  <c r="H1709" i="4"/>
  <c r="G1709" i="4"/>
  <c r="E1709" i="4" s="1"/>
  <c r="H1734" i="4"/>
  <c r="G1734" i="4"/>
  <c r="E1734" i="4" s="1"/>
  <c r="H1738" i="4"/>
  <c r="G1738" i="4"/>
  <c r="E1738" i="4" s="1"/>
  <c r="G1754" i="4"/>
  <c r="E1754" i="4" s="1"/>
  <c r="H1754" i="4"/>
  <c r="G1813" i="4"/>
  <c r="E1813" i="4" s="1"/>
  <c r="H1813" i="4"/>
  <c r="H1826" i="4"/>
  <c r="G1826" i="4"/>
  <c r="E1826" i="4" s="1"/>
  <c r="H1887" i="4"/>
  <c r="G1887" i="4"/>
  <c r="E1887" i="4" s="1"/>
  <c r="H1602" i="4"/>
  <c r="H1610" i="4"/>
  <c r="H1618" i="4"/>
  <c r="H1626" i="4"/>
  <c r="H1642" i="4"/>
  <c r="H1650" i="4"/>
  <c r="H1658" i="4"/>
  <c r="H1666" i="4"/>
  <c r="H1674" i="4"/>
  <c r="H1682" i="4"/>
  <c r="H1690" i="4"/>
  <c r="H1699" i="4"/>
  <c r="G1699" i="4"/>
  <c r="E1699" i="4" s="1"/>
  <c r="H1713" i="4"/>
  <c r="G1713" i="4"/>
  <c r="E1713" i="4" s="1"/>
  <c r="H1742" i="4"/>
  <c r="G1742" i="4"/>
  <c r="E1742" i="4" s="1"/>
  <c r="H1747" i="4"/>
  <c r="G1747" i="4"/>
  <c r="E1747" i="4" s="1"/>
  <c r="H1768" i="4"/>
  <c r="G1768" i="4"/>
  <c r="E1768" i="4" s="1"/>
  <c r="H1772" i="4"/>
  <c r="G1772" i="4"/>
  <c r="E1772" i="4" s="1"/>
  <c r="H1710" i="4"/>
  <c r="G1710" i="4"/>
  <c r="E1710" i="4" s="1"/>
  <c r="H1714" i="4"/>
  <c r="G1714" i="4"/>
  <c r="E1714" i="4" s="1"/>
  <c r="H1751" i="4"/>
  <c r="G1751" i="4"/>
  <c r="E1751" i="4" s="1"/>
  <c r="H1755" i="4"/>
  <c r="G1755" i="4"/>
  <c r="E1755" i="4" s="1"/>
  <c r="H1764" i="4"/>
  <c r="G1764" i="4"/>
  <c r="E1764" i="4" s="1"/>
  <c r="H1773" i="4"/>
  <c r="G1773" i="4"/>
  <c r="E1773" i="4" s="1"/>
  <c r="H1784" i="4"/>
  <c r="G1784" i="4"/>
  <c r="E1784" i="4" s="1"/>
  <c r="G1788" i="4"/>
  <c r="E1788" i="4" s="1"/>
  <c r="H1788" i="4"/>
  <c r="H1778" i="4"/>
  <c r="H1832" i="4"/>
  <c r="G1832" i="4"/>
  <c r="E1832" i="4" s="1"/>
  <c r="H1854" i="4"/>
  <c r="G1854" i="4"/>
  <c r="E1854" i="4" s="1"/>
  <c r="H1862" i="4"/>
  <c r="G1862" i="4"/>
  <c r="E1862" i="4" s="1"/>
  <c r="H1873" i="4"/>
  <c r="G1873" i="4"/>
  <c r="E1873" i="4" s="1"/>
  <c r="H1920" i="4"/>
  <c r="G1920" i="4"/>
  <c r="E1920" i="4" s="1"/>
  <c r="H2192" i="4"/>
  <c r="G2192" i="4"/>
  <c r="E2192" i="4" s="1"/>
  <c r="H2196" i="4"/>
  <c r="G2196" i="4"/>
  <c r="E2196" i="4" s="1"/>
  <c r="G2699" i="4"/>
  <c r="E2699" i="4" s="1"/>
  <c r="H2699" i="4"/>
  <c r="H1796" i="4"/>
  <c r="G1796" i="4"/>
  <c r="E1796" i="4" s="1"/>
  <c r="H1802" i="4"/>
  <c r="G1802" i="4"/>
  <c r="E1802" i="4" s="1"/>
  <c r="H1819" i="4"/>
  <c r="H1866" i="4"/>
  <c r="G1866" i="4"/>
  <c r="E1866" i="4" s="1"/>
  <c r="H1874" i="4"/>
  <c r="G1874" i="4"/>
  <c r="E1874" i="4" s="1"/>
  <c r="H1912" i="4"/>
  <c r="G1912" i="4"/>
  <c r="E1912" i="4" s="1"/>
  <c r="H1921" i="4"/>
  <c r="G1921" i="4"/>
  <c r="E1921" i="4" s="1"/>
  <c r="H1939" i="4"/>
  <c r="G1939" i="4"/>
  <c r="E1939" i="4" s="1"/>
  <c r="H1956" i="4"/>
  <c r="G1956" i="4"/>
  <c r="E1956" i="4" s="1"/>
  <c r="G1722" i="4"/>
  <c r="E1722" i="4" s="1"/>
  <c r="G1735" i="4"/>
  <c r="E1735" i="4" s="1"/>
  <c r="G1759" i="4"/>
  <c r="E1759" i="4" s="1"/>
  <c r="G1781" i="4"/>
  <c r="E1781" i="4" s="1"/>
  <c r="G1810" i="4"/>
  <c r="E1810" i="4" s="1"/>
  <c r="G1816" i="4"/>
  <c r="E1816" i="4" s="1"/>
  <c r="H1820" i="4"/>
  <c r="G1820" i="4"/>
  <c r="E1820" i="4" s="1"/>
  <c r="H1844" i="4"/>
  <c r="G1844" i="4"/>
  <c r="E1844" i="4" s="1"/>
  <c r="G1858" i="4"/>
  <c r="E1858" i="4" s="1"/>
  <c r="H1895" i="4"/>
  <c r="G1895" i="4"/>
  <c r="E1895" i="4" s="1"/>
  <c r="H1900" i="4"/>
  <c r="G1900" i="4"/>
  <c r="E1900" i="4" s="1"/>
  <c r="H1814" i="4"/>
  <c r="G1814" i="4"/>
  <c r="E1814" i="4" s="1"/>
  <c r="H1878" i="4"/>
  <c r="G1878" i="4"/>
  <c r="E1878" i="4" s="1"/>
  <c r="H1926" i="4"/>
  <c r="G1926" i="4"/>
  <c r="E1926" i="4" s="1"/>
  <c r="H1856" i="4"/>
  <c r="G1856" i="4"/>
  <c r="E1856" i="4" s="1"/>
  <c r="G1896" i="4"/>
  <c r="E1896" i="4" s="1"/>
  <c r="H1896" i="4"/>
  <c r="H1945" i="4"/>
  <c r="G1945" i="4"/>
  <c r="E1945" i="4" s="1"/>
  <c r="G1716" i="4"/>
  <c r="E1716" i="4" s="1"/>
  <c r="G1729" i="4"/>
  <c r="E1729" i="4" s="1"/>
  <c r="G1789" i="4"/>
  <c r="E1789" i="4" s="1"/>
  <c r="G1794" i="4"/>
  <c r="E1794" i="4" s="1"/>
  <c r="H1837" i="4"/>
  <c r="G1837" i="4"/>
  <c r="E1837" i="4" s="1"/>
  <c r="H1885" i="4"/>
  <c r="G1885" i="4"/>
  <c r="E1885" i="4" s="1"/>
  <c r="G1892" i="4"/>
  <c r="E1892" i="4" s="1"/>
  <c r="H1909" i="4"/>
  <c r="G1909" i="4"/>
  <c r="E1909" i="4" s="1"/>
  <c r="H1917" i="4"/>
  <c r="G1917" i="4"/>
  <c r="E1917" i="4" s="1"/>
  <c r="H1927" i="4"/>
  <c r="G1927" i="4"/>
  <c r="E1927" i="4" s="1"/>
  <c r="G1852" i="4"/>
  <c r="E1852" i="4" s="1"/>
  <c r="H1868" i="4"/>
  <c r="G1868" i="4"/>
  <c r="E1868" i="4" s="1"/>
  <c r="H1897" i="4"/>
  <c r="G1897" i="4"/>
  <c r="E1897" i="4" s="1"/>
  <c r="H1936" i="4"/>
  <c r="G1936" i="4"/>
  <c r="E1936" i="4" s="1"/>
  <c r="G1712" i="4"/>
  <c r="E1712" i="4" s="1"/>
  <c r="G1725" i="4"/>
  <c r="E1725" i="4" s="1"/>
  <c r="G1749" i="4"/>
  <c r="E1749" i="4" s="1"/>
  <c r="G1760" i="4"/>
  <c r="E1760" i="4" s="1"/>
  <c r="G1803" i="4"/>
  <c r="E1803" i="4" s="1"/>
  <c r="G1830" i="4"/>
  <c r="E1830" i="4" s="1"/>
  <c r="H1838" i="4"/>
  <c r="G1838" i="4"/>
  <c r="E1838" i="4" s="1"/>
  <c r="H1849" i="4"/>
  <c r="G1849" i="4"/>
  <c r="E1849" i="4" s="1"/>
  <c r="H1941" i="4"/>
  <c r="G1941" i="4"/>
  <c r="E1941" i="4" s="1"/>
  <c r="H1787" i="4"/>
  <c r="G1792" i="4"/>
  <c r="E1792" i="4" s="1"/>
  <c r="G1860" i="4"/>
  <c r="E1860" i="4" s="1"/>
  <c r="H1889" i="4"/>
  <c r="H1898" i="4"/>
  <c r="G1898" i="4"/>
  <c r="E1898" i="4" s="1"/>
  <c r="H1937" i="4"/>
  <c r="G1937" i="4"/>
  <c r="E1937" i="4" s="1"/>
  <c r="G1809" i="4"/>
  <c r="E1809" i="4" s="1"/>
  <c r="H1842" i="4"/>
  <c r="G1842" i="4"/>
  <c r="E1842" i="4" s="1"/>
  <c r="H1850" i="4"/>
  <c r="G1850" i="4"/>
  <c r="E1850" i="4" s="1"/>
  <c r="H1861" i="4"/>
  <c r="G1861" i="4"/>
  <c r="E1861" i="4" s="1"/>
  <c r="H1890" i="4"/>
  <c r="G1890" i="4"/>
  <c r="E1890" i="4" s="1"/>
  <c r="H1914" i="4"/>
  <c r="G1914" i="4"/>
  <c r="E1914" i="4" s="1"/>
  <c r="G1919" i="4"/>
  <c r="E1919" i="4" s="1"/>
  <c r="H1919" i="4"/>
  <c r="H1924" i="4"/>
  <c r="G1924" i="4"/>
  <c r="E1924" i="4" s="1"/>
  <c r="G1928" i="4"/>
  <c r="E1928" i="4" s="1"/>
  <c r="G1790" i="4"/>
  <c r="E1790" i="4" s="1"/>
  <c r="G1806" i="4"/>
  <c r="E1806" i="4" s="1"/>
  <c r="H1825" i="4"/>
  <c r="G1825" i="4"/>
  <c r="E1825" i="4" s="1"/>
  <c r="G1882" i="4"/>
  <c r="E1882" i="4" s="1"/>
  <c r="H1903" i="4"/>
  <c r="G1903" i="4"/>
  <c r="E1903" i="4" s="1"/>
  <c r="G1907" i="4"/>
  <c r="E1907" i="4" s="1"/>
  <c r="H1907" i="4"/>
  <c r="G1915" i="4"/>
  <c r="E1915" i="4" s="1"/>
  <c r="H1915" i="4"/>
  <c r="H1929" i="4"/>
  <c r="G1929" i="4"/>
  <c r="E1929" i="4" s="1"/>
  <c r="H1949" i="4"/>
  <c r="G1949" i="4"/>
  <c r="E1949" i="4" s="1"/>
  <c r="H1966" i="4"/>
  <c r="G1966" i="4"/>
  <c r="E1966" i="4" s="1"/>
  <c r="H1976" i="4"/>
  <c r="G1976" i="4"/>
  <c r="E1976" i="4" s="1"/>
  <c r="G1904" i="4"/>
  <c r="E1904" i="4" s="1"/>
  <c r="H1934" i="4"/>
  <c r="G1934" i="4"/>
  <c r="E1934" i="4" s="1"/>
  <c r="G2090" i="4"/>
  <c r="E2090" i="4" s="1"/>
  <c r="H2090" i="4"/>
  <c r="G1902" i="4"/>
  <c r="E1902" i="4" s="1"/>
  <c r="G1923" i="4"/>
  <c r="E1923" i="4" s="1"/>
  <c r="G1946" i="4"/>
  <c r="E1946" i="4" s="1"/>
  <c r="H1953" i="4"/>
  <c r="H1970" i="4"/>
  <c r="G1970" i="4"/>
  <c r="E1970" i="4" s="1"/>
  <c r="H2006" i="4"/>
  <c r="G2006" i="4"/>
  <c r="E2006" i="4" s="1"/>
  <c r="G2042" i="4"/>
  <c r="E2042" i="4" s="1"/>
  <c r="H2042" i="4"/>
  <c r="H2085" i="4"/>
  <c r="G2085" i="4"/>
  <c r="E2085" i="4" s="1"/>
  <c r="G1950" i="4"/>
  <c r="E1950" i="4" s="1"/>
  <c r="H1960" i="4"/>
  <c r="G1960" i="4"/>
  <c r="E1960" i="4" s="1"/>
  <c r="H1990" i="4"/>
  <c r="G1990" i="4"/>
  <c r="E1990" i="4" s="1"/>
  <c r="H2037" i="4"/>
  <c r="G2037" i="4"/>
  <c r="E2037" i="4" s="1"/>
  <c r="H2154" i="4"/>
  <c r="G2154" i="4"/>
  <c r="E2154" i="4" s="1"/>
  <c r="H2000" i="4"/>
  <c r="G2000" i="4"/>
  <c r="E2000" i="4" s="1"/>
  <c r="H2081" i="4"/>
  <c r="G2081" i="4"/>
  <c r="E2081" i="4" s="1"/>
  <c r="H1910" i="4"/>
  <c r="G1910" i="4"/>
  <c r="E1910" i="4" s="1"/>
  <c r="G1935" i="4"/>
  <c r="E1935" i="4" s="1"/>
  <c r="G1944" i="4"/>
  <c r="E1944" i="4" s="1"/>
  <c r="H1964" i="4"/>
  <c r="G1964" i="4"/>
  <c r="E1964" i="4" s="1"/>
  <c r="H1984" i="4"/>
  <c r="G1984" i="4"/>
  <c r="E1984" i="4" s="1"/>
  <c r="H2033" i="4"/>
  <c r="G2033" i="4"/>
  <c r="E2033" i="4" s="1"/>
  <c r="H1883" i="4"/>
  <c r="G1918" i="4"/>
  <c r="E1918" i="4" s="1"/>
  <c r="H1938" i="4"/>
  <c r="G1938" i="4"/>
  <c r="E1938" i="4" s="1"/>
  <c r="G1947" i="4"/>
  <c r="E1947" i="4" s="1"/>
  <c r="H1994" i="4"/>
  <c r="G1994" i="4"/>
  <c r="E1994" i="4" s="1"/>
  <c r="G2072" i="4"/>
  <c r="E2072" i="4" s="1"/>
  <c r="H2072" i="4"/>
  <c r="H1968" i="4"/>
  <c r="G1968" i="4"/>
  <c r="E1968" i="4" s="1"/>
  <c r="H1978" i="4"/>
  <c r="G1978" i="4"/>
  <c r="E1978" i="4" s="1"/>
  <c r="G2024" i="4"/>
  <c r="E2024" i="4" s="1"/>
  <c r="H2024" i="4"/>
  <c r="G1916" i="4"/>
  <c r="E1916" i="4" s="1"/>
  <c r="G1933" i="4"/>
  <c r="E1933" i="4" s="1"/>
  <c r="H1958" i="4"/>
  <c r="G1958" i="4"/>
  <c r="E1958" i="4" s="1"/>
  <c r="H1988" i="4"/>
  <c r="G1988" i="4"/>
  <c r="E1988" i="4" s="1"/>
  <c r="G1901" i="4"/>
  <c r="E1901" i="4" s="1"/>
  <c r="H1952" i="4"/>
  <c r="G1952" i="4"/>
  <c r="E1952" i="4" s="1"/>
  <c r="H1972" i="4"/>
  <c r="G1972" i="4"/>
  <c r="E1972" i="4" s="1"/>
  <c r="H1922" i="4"/>
  <c r="G1922" i="4"/>
  <c r="E1922" i="4" s="1"/>
  <c r="H1942" i="4"/>
  <c r="G1942" i="4"/>
  <c r="E1942" i="4" s="1"/>
  <c r="H1962" i="4"/>
  <c r="G1962" i="4"/>
  <c r="E1962" i="4" s="1"/>
  <c r="H1982" i="4"/>
  <c r="G1982" i="4"/>
  <c r="E1982" i="4" s="1"/>
  <c r="G2016" i="4"/>
  <c r="E2016" i="4" s="1"/>
  <c r="H2016" i="4"/>
  <c r="G2028" i="4"/>
  <c r="E2028" i="4" s="1"/>
  <c r="H2028" i="4"/>
  <c r="G2046" i="4"/>
  <c r="E2046" i="4" s="1"/>
  <c r="H2046" i="4"/>
  <c r="H2063" i="4"/>
  <c r="G2063" i="4"/>
  <c r="E2063" i="4" s="1"/>
  <c r="G2094" i="4"/>
  <c r="E2094" i="4" s="1"/>
  <c r="H2094" i="4"/>
  <c r="H2111" i="4"/>
  <c r="G2111" i="4"/>
  <c r="E2111" i="4" s="1"/>
  <c r="H2206" i="4"/>
  <c r="G2206" i="4"/>
  <c r="E2206" i="4" s="1"/>
  <c r="H2224" i="4"/>
  <c r="G2224" i="4"/>
  <c r="E2224" i="4" s="1"/>
  <c r="G2261" i="4"/>
  <c r="E2261" i="4" s="1"/>
  <c r="H2261" i="4"/>
  <c r="H2293" i="4"/>
  <c r="G2293" i="4"/>
  <c r="E2293" i="4" s="1"/>
  <c r="H2025" i="4"/>
  <c r="G2025" i="4"/>
  <c r="E2025" i="4" s="1"/>
  <c r="H2029" i="4"/>
  <c r="G2029" i="4"/>
  <c r="E2029" i="4" s="1"/>
  <c r="G2064" i="4"/>
  <c r="E2064" i="4" s="1"/>
  <c r="H2064" i="4"/>
  <c r="H2073" i="4"/>
  <c r="G2073" i="4"/>
  <c r="E2073" i="4" s="1"/>
  <c r="H2077" i="4"/>
  <c r="G2077" i="4"/>
  <c r="E2077" i="4" s="1"/>
  <c r="G2112" i="4"/>
  <c r="E2112" i="4" s="1"/>
  <c r="H2112" i="4"/>
  <c r="G2181" i="4"/>
  <c r="E2181" i="4" s="1"/>
  <c r="H2181" i="4"/>
  <c r="G2253" i="4"/>
  <c r="E2253" i="4" s="1"/>
  <c r="H2253" i="4"/>
  <c r="H2438" i="4"/>
  <c r="G2438" i="4"/>
  <c r="E2438" i="4" s="1"/>
  <c r="H2511" i="4"/>
  <c r="G2511" i="4"/>
  <c r="E2511" i="4" s="1"/>
  <c r="H2752" i="4"/>
  <c r="G2752" i="4"/>
  <c r="E2752" i="4" s="1"/>
  <c r="H2017" i="4"/>
  <c r="G2017" i="4"/>
  <c r="E2017" i="4" s="1"/>
  <c r="G2020" i="4"/>
  <c r="E2020" i="4" s="1"/>
  <c r="H2020" i="4"/>
  <c r="G2038" i="4"/>
  <c r="E2038" i="4" s="1"/>
  <c r="H2038" i="4"/>
  <c r="H2055" i="4"/>
  <c r="G2055" i="4"/>
  <c r="E2055" i="4" s="1"/>
  <c r="G2086" i="4"/>
  <c r="E2086" i="4" s="1"/>
  <c r="H2086" i="4"/>
  <c r="H2103" i="4"/>
  <c r="G2103" i="4"/>
  <c r="E2103" i="4" s="1"/>
  <c r="H2119" i="4"/>
  <c r="H2124" i="4"/>
  <c r="G2124" i="4"/>
  <c r="E2124" i="4" s="1"/>
  <c r="G2127" i="4"/>
  <c r="E2127" i="4" s="1"/>
  <c r="H2127" i="4"/>
  <c r="H1974" i="4"/>
  <c r="G1974" i="4"/>
  <c r="E1974" i="4" s="1"/>
  <c r="H1980" i="4"/>
  <c r="G1980" i="4"/>
  <c r="E1980" i="4" s="1"/>
  <c r="H1986" i="4"/>
  <c r="G1986" i="4"/>
  <c r="E1986" i="4" s="1"/>
  <c r="H1992" i="4"/>
  <c r="G1992" i="4"/>
  <c r="E1992" i="4" s="1"/>
  <c r="H1998" i="4"/>
  <c r="G1998" i="4"/>
  <c r="E1998" i="4" s="1"/>
  <c r="H2004" i="4"/>
  <c r="G2004" i="4"/>
  <c r="E2004" i="4" s="1"/>
  <c r="H2010" i="4"/>
  <c r="G2010" i="4"/>
  <c r="E2010" i="4" s="1"/>
  <c r="H2021" i="4"/>
  <c r="G2021" i="4"/>
  <c r="E2021" i="4" s="1"/>
  <c r="G2056" i="4"/>
  <c r="E2056" i="4" s="1"/>
  <c r="H2056" i="4"/>
  <c r="H2065" i="4"/>
  <c r="G2065" i="4"/>
  <c r="E2065" i="4" s="1"/>
  <c r="H2069" i="4"/>
  <c r="G2069" i="4"/>
  <c r="E2069" i="4" s="1"/>
  <c r="G2104" i="4"/>
  <c r="E2104" i="4" s="1"/>
  <c r="H2104" i="4"/>
  <c r="H2113" i="4"/>
  <c r="G2113" i="4"/>
  <c r="E2113" i="4" s="1"/>
  <c r="H2128" i="4"/>
  <c r="G2128" i="4"/>
  <c r="E2128" i="4" s="1"/>
  <c r="G2030" i="4"/>
  <c r="E2030" i="4" s="1"/>
  <c r="H2030" i="4"/>
  <c r="H2047" i="4"/>
  <c r="G2047" i="4"/>
  <c r="E2047" i="4" s="1"/>
  <c r="G2078" i="4"/>
  <c r="E2078" i="4" s="1"/>
  <c r="H2078" i="4"/>
  <c r="H2082" i="4"/>
  <c r="H2095" i="4"/>
  <c r="G2095" i="4"/>
  <c r="E2095" i="4" s="1"/>
  <c r="H2136" i="4"/>
  <c r="G2136" i="4"/>
  <c r="E2136" i="4" s="1"/>
  <c r="H2164" i="4"/>
  <c r="G2164" i="4"/>
  <c r="E2164" i="4" s="1"/>
  <c r="H2230" i="4"/>
  <c r="G2230" i="4"/>
  <c r="E2230" i="4" s="1"/>
  <c r="G2048" i="4"/>
  <c r="E2048" i="4" s="1"/>
  <c r="H2048" i="4"/>
  <c r="H2057" i="4"/>
  <c r="G2057" i="4"/>
  <c r="E2057" i="4" s="1"/>
  <c r="H2061" i="4"/>
  <c r="G2061" i="4"/>
  <c r="E2061" i="4" s="1"/>
  <c r="G2096" i="4"/>
  <c r="E2096" i="4" s="1"/>
  <c r="H2096" i="4"/>
  <c r="H2105" i="4"/>
  <c r="G2105" i="4"/>
  <c r="E2105" i="4" s="1"/>
  <c r="H2109" i="4"/>
  <c r="G2109" i="4"/>
  <c r="E2109" i="4" s="1"/>
  <c r="H2117" i="4"/>
  <c r="G2117" i="4"/>
  <c r="E2117" i="4" s="1"/>
  <c r="H2148" i="4"/>
  <c r="G2148" i="4"/>
  <c r="E2148" i="4" s="1"/>
  <c r="G2169" i="4"/>
  <c r="E2169" i="4" s="1"/>
  <c r="H2169" i="4"/>
  <c r="H2212" i="4"/>
  <c r="G2212" i="4"/>
  <c r="E2212" i="4" s="1"/>
  <c r="G2022" i="4"/>
  <c r="E2022" i="4" s="1"/>
  <c r="H2022" i="4"/>
  <c r="H2039" i="4"/>
  <c r="G2039" i="4"/>
  <c r="E2039" i="4" s="1"/>
  <c r="G2070" i="4"/>
  <c r="E2070" i="4" s="1"/>
  <c r="H2070" i="4"/>
  <c r="H2074" i="4"/>
  <c r="H2087" i="4"/>
  <c r="G2087" i="4"/>
  <c r="E2087" i="4" s="1"/>
  <c r="G2133" i="4"/>
  <c r="E2133" i="4" s="1"/>
  <c r="H2133" i="4"/>
  <c r="G2145" i="4"/>
  <c r="E2145" i="4" s="1"/>
  <c r="H2145" i="4"/>
  <c r="H2222" i="4"/>
  <c r="G2222" i="4"/>
  <c r="E2222" i="4" s="1"/>
  <c r="H1996" i="4"/>
  <c r="G1996" i="4"/>
  <c r="E1996" i="4" s="1"/>
  <c r="H2002" i="4"/>
  <c r="G2002" i="4"/>
  <c r="E2002" i="4" s="1"/>
  <c r="H2008" i="4"/>
  <c r="G2008" i="4"/>
  <c r="E2008" i="4" s="1"/>
  <c r="G2040" i="4"/>
  <c r="E2040" i="4" s="1"/>
  <c r="H2040" i="4"/>
  <c r="H2049" i="4"/>
  <c r="G2049" i="4"/>
  <c r="E2049" i="4" s="1"/>
  <c r="H2053" i="4"/>
  <c r="G2053" i="4"/>
  <c r="E2053" i="4" s="1"/>
  <c r="G2088" i="4"/>
  <c r="E2088" i="4" s="1"/>
  <c r="H2088" i="4"/>
  <c r="H2097" i="4"/>
  <c r="G2097" i="4"/>
  <c r="E2097" i="4" s="1"/>
  <c r="H2101" i="4"/>
  <c r="G2101" i="4"/>
  <c r="E2101" i="4" s="1"/>
  <c r="G2157" i="4"/>
  <c r="E2157" i="4" s="1"/>
  <c r="H2157" i="4"/>
  <c r="H2204" i="4"/>
  <c r="G2204" i="4"/>
  <c r="E2204" i="4" s="1"/>
  <c r="H2018" i="4"/>
  <c r="H2031" i="4"/>
  <c r="G2031" i="4"/>
  <c r="E2031" i="4" s="1"/>
  <c r="G2044" i="4"/>
  <c r="E2044" i="4" s="1"/>
  <c r="H2044" i="4"/>
  <c r="G2062" i="4"/>
  <c r="E2062" i="4" s="1"/>
  <c r="H2062" i="4"/>
  <c r="H2066" i="4"/>
  <c r="H2079" i="4"/>
  <c r="G2079" i="4"/>
  <c r="E2079" i="4" s="1"/>
  <c r="G2110" i="4"/>
  <c r="E2110" i="4" s="1"/>
  <c r="H2110" i="4"/>
  <c r="H2114" i="4"/>
  <c r="G2032" i="4"/>
  <c r="E2032" i="4" s="1"/>
  <c r="H2032" i="4"/>
  <c r="H2041" i="4"/>
  <c r="G2041" i="4"/>
  <c r="E2041" i="4" s="1"/>
  <c r="H2045" i="4"/>
  <c r="G2045" i="4"/>
  <c r="E2045" i="4" s="1"/>
  <c r="G2080" i="4"/>
  <c r="E2080" i="4" s="1"/>
  <c r="H2080" i="4"/>
  <c r="H2089" i="4"/>
  <c r="G2089" i="4"/>
  <c r="E2089" i="4" s="1"/>
  <c r="H2093" i="4"/>
  <c r="G2093" i="4"/>
  <c r="E2093" i="4" s="1"/>
  <c r="H2130" i="4"/>
  <c r="G2130" i="4"/>
  <c r="E2130" i="4" s="1"/>
  <c r="H2023" i="4"/>
  <c r="G2023" i="4"/>
  <c r="E2023" i="4" s="1"/>
  <c r="G2036" i="4"/>
  <c r="E2036" i="4" s="1"/>
  <c r="H2036" i="4"/>
  <c r="G2054" i="4"/>
  <c r="E2054" i="4" s="1"/>
  <c r="H2054" i="4"/>
  <c r="H2071" i="4"/>
  <c r="G2071" i="4"/>
  <c r="E2071" i="4" s="1"/>
  <c r="G2102" i="4"/>
  <c r="E2102" i="4" s="1"/>
  <c r="H2102" i="4"/>
  <c r="G2131" i="4"/>
  <c r="E2131" i="4" s="1"/>
  <c r="H2131" i="4"/>
  <c r="H2142" i="4"/>
  <c r="G2142" i="4"/>
  <c r="E2142" i="4" s="1"/>
  <c r="H2200" i="4"/>
  <c r="G2200" i="4"/>
  <c r="E2200" i="4" s="1"/>
  <c r="G2191" i="4"/>
  <c r="E2191" i="4" s="1"/>
  <c r="H2191" i="4"/>
  <c r="G2213" i="4"/>
  <c r="E2213" i="4" s="1"/>
  <c r="H2213" i="4"/>
  <c r="G2221" i="4"/>
  <c r="E2221" i="4" s="1"/>
  <c r="H2221" i="4"/>
  <c r="H2151" i="4"/>
  <c r="H2174" i="4"/>
  <c r="G2174" i="4"/>
  <c r="E2174" i="4" s="1"/>
  <c r="G2201" i="4"/>
  <c r="E2201" i="4" s="1"/>
  <c r="H2201" i="4"/>
  <c r="H2258" i="4"/>
  <c r="G2258" i="4"/>
  <c r="E2258" i="4" s="1"/>
  <c r="H2340" i="4"/>
  <c r="G2340" i="4"/>
  <c r="E2340" i="4" s="1"/>
  <c r="H2171" i="4"/>
  <c r="H2178" i="4"/>
  <c r="G2178" i="4"/>
  <c r="E2178" i="4" s="1"/>
  <c r="G2209" i="4"/>
  <c r="E2209" i="4" s="1"/>
  <c r="H2209" i="4"/>
  <c r="H2250" i="4"/>
  <c r="G2250" i="4"/>
  <c r="E2250" i="4" s="1"/>
  <c r="H2146" i="4"/>
  <c r="G2146" i="4"/>
  <c r="E2146" i="4" s="1"/>
  <c r="H2158" i="4"/>
  <c r="G2158" i="4"/>
  <c r="E2158" i="4" s="1"/>
  <c r="G2165" i="4"/>
  <c r="E2165" i="4" s="1"/>
  <c r="H2165" i="4"/>
  <c r="H2172" i="4"/>
  <c r="G2172" i="4"/>
  <c r="E2172" i="4" s="1"/>
  <c r="G2179" i="4"/>
  <c r="E2179" i="4" s="1"/>
  <c r="H2179" i="4"/>
  <c r="H2182" i="4"/>
  <c r="G2182" i="4"/>
  <c r="E2182" i="4" s="1"/>
  <c r="G2189" i="4"/>
  <c r="E2189" i="4" s="1"/>
  <c r="H2189" i="4"/>
  <c r="H2210" i="4"/>
  <c r="G2210" i="4"/>
  <c r="E2210" i="4" s="1"/>
  <c r="H2218" i="4"/>
  <c r="G2218" i="4"/>
  <c r="E2218" i="4" s="1"/>
  <c r="H2251" i="4"/>
  <c r="G2251" i="4"/>
  <c r="E2251" i="4" s="1"/>
  <c r="H2271" i="4"/>
  <c r="G2271" i="4"/>
  <c r="E2271" i="4" s="1"/>
  <c r="H2019" i="4"/>
  <c r="G2019" i="4"/>
  <c r="E2019" i="4" s="1"/>
  <c r="H2027" i="4"/>
  <c r="G2027" i="4"/>
  <c r="E2027" i="4" s="1"/>
  <c r="H2035" i="4"/>
  <c r="G2035" i="4"/>
  <c r="E2035" i="4" s="1"/>
  <c r="H2043" i="4"/>
  <c r="G2043" i="4"/>
  <c r="E2043" i="4" s="1"/>
  <c r="H2051" i="4"/>
  <c r="G2051" i="4"/>
  <c r="E2051" i="4" s="1"/>
  <c r="H2059" i="4"/>
  <c r="G2059" i="4"/>
  <c r="E2059" i="4" s="1"/>
  <c r="H2067" i="4"/>
  <c r="G2067" i="4"/>
  <c r="E2067" i="4" s="1"/>
  <c r="H2075" i="4"/>
  <c r="G2075" i="4"/>
  <c r="E2075" i="4" s="1"/>
  <c r="H2083" i="4"/>
  <c r="G2083" i="4"/>
  <c r="E2083" i="4" s="1"/>
  <c r="H2091" i="4"/>
  <c r="G2091" i="4"/>
  <c r="E2091" i="4" s="1"/>
  <c r="H2099" i="4"/>
  <c r="G2099" i="4"/>
  <c r="E2099" i="4" s="1"/>
  <c r="H2107" i="4"/>
  <c r="G2107" i="4"/>
  <c r="E2107" i="4" s="1"/>
  <c r="H2115" i="4"/>
  <c r="G2115" i="4"/>
  <c r="E2115" i="4" s="1"/>
  <c r="G2129" i="4"/>
  <c r="E2129" i="4" s="1"/>
  <c r="H2129" i="4"/>
  <c r="G2193" i="4"/>
  <c r="E2193" i="4" s="1"/>
  <c r="H2193" i="4"/>
  <c r="G2197" i="4"/>
  <c r="E2197" i="4" s="1"/>
  <c r="H2197" i="4"/>
  <c r="G2219" i="4"/>
  <c r="E2219" i="4" s="1"/>
  <c r="H2219" i="4"/>
  <c r="G2227" i="4"/>
  <c r="E2227" i="4" s="1"/>
  <c r="H2227" i="4"/>
  <c r="H2239" i="4"/>
  <c r="G2239" i="4"/>
  <c r="E2239" i="4" s="1"/>
  <c r="H2359" i="4"/>
  <c r="G2359" i="4"/>
  <c r="E2359" i="4" s="1"/>
  <c r="G2012" i="4"/>
  <c r="E2012" i="4" s="1"/>
  <c r="H2014" i="4"/>
  <c r="G2120" i="4"/>
  <c r="E2120" i="4" s="1"/>
  <c r="H2123" i="4"/>
  <c r="G2140" i="4"/>
  <c r="E2140" i="4" s="1"/>
  <c r="H2143" i="4"/>
  <c r="H2149" i="4"/>
  <c r="G2152" i="4"/>
  <c r="E2152" i="4" s="1"/>
  <c r="H2155" i="4"/>
  <c r="H2198" i="4"/>
  <c r="G2198" i="4"/>
  <c r="E2198" i="4" s="1"/>
  <c r="H2228" i="4"/>
  <c r="G2228" i="4"/>
  <c r="E2228" i="4" s="1"/>
  <c r="H2276" i="4"/>
  <c r="G2276" i="4"/>
  <c r="E2276" i="4" s="1"/>
  <c r="G2141" i="4"/>
  <c r="E2141" i="4" s="1"/>
  <c r="H2141" i="4"/>
  <c r="G2153" i="4"/>
  <c r="E2153" i="4" s="1"/>
  <c r="H2153" i="4"/>
  <c r="G2207" i="4"/>
  <c r="E2207" i="4" s="1"/>
  <c r="H2207" i="4"/>
  <c r="H2243" i="4"/>
  <c r="G2243" i="4"/>
  <c r="E2243" i="4" s="1"/>
  <c r="G2126" i="4"/>
  <c r="E2126" i="4" s="1"/>
  <c r="H2162" i="4"/>
  <c r="G2162" i="4"/>
  <c r="E2162" i="4" s="1"/>
  <c r="H2186" i="4"/>
  <c r="G2186" i="4"/>
  <c r="E2186" i="4" s="1"/>
  <c r="H2190" i="4"/>
  <c r="G2190" i="4"/>
  <c r="E2190" i="4" s="1"/>
  <c r="H2194" i="4"/>
  <c r="G2194" i="4"/>
  <c r="E2194" i="4" s="1"/>
  <c r="G2215" i="4"/>
  <c r="E2215" i="4" s="1"/>
  <c r="H2215" i="4"/>
  <c r="H2116" i="4"/>
  <c r="G2116" i="4"/>
  <c r="E2116" i="4" s="1"/>
  <c r="H2166" i="4"/>
  <c r="G2166" i="4"/>
  <c r="E2166" i="4" s="1"/>
  <c r="G2195" i="4"/>
  <c r="E2195" i="4" s="1"/>
  <c r="H2195" i="4"/>
  <c r="H2216" i="4"/>
  <c r="G2216" i="4"/>
  <c r="E2216" i="4" s="1"/>
  <c r="H2292" i="4"/>
  <c r="G2292" i="4"/>
  <c r="E2292" i="4" s="1"/>
  <c r="H2060" i="4"/>
  <c r="H2068" i="4"/>
  <c r="H2076" i="4"/>
  <c r="H2084" i="4"/>
  <c r="H2092" i="4"/>
  <c r="H2100" i="4"/>
  <c r="G2144" i="4"/>
  <c r="E2144" i="4" s="1"/>
  <c r="G2156" i="4"/>
  <c r="E2156" i="4" s="1"/>
  <c r="H2160" i="4"/>
  <c r="G2160" i="4"/>
  <c r="E2160" i="4" s="1"/>
  <c r="G2167" i="4"/>
  <c r="E2167" i="4" s="1"/>
  <c r="H2167" i="4"/>
  <c r="H2170" i="4"/>
  <c r="G2170" i="4"/>
  <c r="E2170" i="4" s="1"/>
  <c r="H2173" i="4"/>
  <c r="G2177" i="4"/>
  <c r="E2177" i="4" s="1"/>
  <c r="H2177" i="4"/>
  <c r="G2180" i="4"/>
  <c r="E2180" i="4" s="1"/>
  <c r="H2184" i="4"/>
  <c r="G2184" i="4"/>
  <c r="E2184" i="4" s="1"/>
  <c r="G2199" i="4"/>
  <c r="E2199" i="4" s="1"/>
  <c r="H2199" i="4"/>
  <c r="G2203" i="4"/>
  <c r="E2203" i="4" s="1"/>
  <c r="H2203" i="4"/>
  <c r="G2225" i="4"/>
  <c r="E2225" i="4" s="1"/>
  <c r="H2225" i="4"/>
  <c r="H2246" i="4"/>
  <c r="G2246" i="4"/>
  <c r="E2246" i="4" s="1"/>
  <c r="H2260" i="4"/>
  <c r="G2260" i="4"/>
  <c r="E2260" i="4" s="1"/>
  <c r="H2268" i="4"/>
  <c r="G2268" i="4"/>
  <c r="E2268" i="4" s="1"/>
  <c r="H2284" i="4"/>
  <c r="G2284" i="4"/>
  <c r="E2284" i="4" s="1"/>
  <c r="G2363" i="4"/>
  <c r="E2363" i="4" s="1"/>
  <c r="H2363" i="4"/>
  <c r="H2399" i="4"/>
  <c r="G2399" i="4"/>
  <c r="E2399" i="4" s="1"/>
  <c r="H2236" i="4"/>
  <c r="G2236" i="4"/>
  <c r="E2236" i="4" s="1"/>
  <c r="H2240" i="4"/>
  <c r="G2240" i="4"/>
  <c r="E2240" i="4" s="1"/>
  <c r="H2322" i="4"/>
  <c r="G2322" i="4"/>
  <c r="E2322" i="4" s="1"/>
  <c r="H2326" i="4"/>
  <c r="G2326" i="4"/>
  <c r="E2326" i="4" s="1"/>
  <c r="H2364" i="4"/>
  <c r="G2364" i="4"/>
  <c r="E2364" i="4" s="1"/>
  <c r="H2395" i="4"/>
  <c r="G2395" i="4"/>
  <c r="E2395" i="4" s="1"/>
  <c r="H2400" i="4"/>
  <c r="G2400" i="4"/>
  <c r="E2400" i="4" s="1"/>
  <c r="H2247" i="4"/>
  <c r="G2247" i="4"/>
  <c r="E2247" i="4" s="1"/>
  <c r="H2254" i="4"/>
  <c r="G2254" i="4"/>
  <c r="E2254" i="4" s="1"/>
  <c r="H2314" i="4"/>
  <c r="G2314" i="4"/>
  <c r="E2314" i="4" s="1"/>
  <c r="H2318" i="4"/>
  <c r="G2318" i="4"/>
  <c r="E2318" i="4" s="1"/>
  <c r="H2327" i="4"/>
  <c r="G2327" i="4"/>
  <c r="E2327" i="4" s="1"/>
  <c r="H2345" i="4"/>
  <c r="G2345" i="4"/>
  <c r="E2345" i="4" s="1"/>
  <c r="H2244" i="4"/>
  <c r="G2244" i="4"/>
  <c r="E2244" i="4" s="1"/>
  <c r="G2297" i="4"/>
  <c r="E2297" i="4" s="1"/>
  <c r="H2306" i="4"/>
  <c r="G2306" i="4"/>
  <c r="E2306" i="4" s="1"/>
  <c r="H2310" i="4"/>
  <c r="G2310" i="4"/>
  <c r="E2310" i="4" s="1"/>
  <c r="H2319" i="4"/>
  <c r="G2319" i="4"/>
  <c r="E2319" i="4" s="1"/>
  <c r="H2429" i="4"/>
  <c r="G2429" i="4"/>
  <c r="E2429" i="4" s="1"/>
  <c r="G2289" i="4"/>
  <c r="E2289" i="4" s="1"/>
  <c r="H2298" i="4"/>
  <c r="G2298" i="4"/>
  <c r="E2298" i="4" s="1"/>
  <c r="H2302" i="4"/>
  <c r="G2302" i="4"/>
  <c r="E2302" i="4" s="1"/>
  <c r="H2311" i="4"/>
  <c r="G2311" i="4"/>
  <c r="E2311" i="4" s="1"/>
  <c r="H2262" i="4"/>
  <c r="G2262" i="4"/>
  <c r="E2262" i="4" s="1"/>
  <c r="H2266" i="4"/>
  <c r="G2266" i="4"/>
  <c r="E2266" i="4" s="1"/>
  <c r="G2281" i="4"/>
  <c r="E2281" i="4" s="1"/>
  <c r="H2290" i="4"/>
  <c r="G2290" i="4"/>
  <c r="E2290" i="4" s="1"/>
  <c r="H2294" i="4"/>
  <c r="G2294" i="4"/>
  <c r="E2294" i="4" s="1"/>
  <c r="H2303" i="4"/>
  <c r="G2303" i="4"/>
  <c r="E2303" i="4" s="1"/>
  <c r="H2323" i="4"/>
  <c r="H2383" i="4"/>
  <c r="G2383" i="4"/>
  <c r="E2383" i="4" s="1"/>
  <c r="H2248" i="4"/>
  <c r="G2248" i="4"/>
  <c r="E2248" i="4" s="1"/>
  <c r="H2270" i="4"/>
  <c r="G2270" i="4"/>
  <c r="E2270" i="4" s="1"/>
  <c r="H2274" i="4"/>
  <c r="G2274" i="4"/>
  <c r="E2274" i="4" s="1"/>
  <c r="H2282" i="4"/>
  <c r="G2282" i="4"/>
  <c r="E2282" i="4" s="1"/>
  <c r="H2286" i="4"/>
  <c r="G2286" i="4"/>
  <c r="E2286" i="4" s="1"/>
  <c r="H2295" i="4"/>
  <c r="G2295" i="4"/>
  <c r="E2295" i="4" s="1"/>
  <c r="H2315" i="4"/>
  <c r="H2324" i="4"/>
  <c r="G2324" i="4"/>
  <c r="E2324" i="4" s="1"/>
  <c r="H2388" i="4"/>
  <c r="G2388" i="4"/>
  <c r="E2388" i="4" s="1"/>
  <c r="H2238" i="4"/>
  <c r="G2238" i="4"/>
  <c r="E2238" i="4" s="1"/>
  <c r="H2259" i="4"/>
  <c r="G2259" i="4"/>
  <c r="E2259" i="4" s="1"/>
  <c r="H2278" i="4"/>
  <c r="G2278" i="4"/>
  <c r="E2278" i="4" s="1"/>
  <c r="H2287" i="4"/>
  <c r="G2287" i="4"/>
  <c r="E2287" i="4" s="1"/>
  <c r="H2316" i="4"/>
  <c r="G2316" i="4"/>
  <c r="E2316" i="4" s="1"/>
  <c r="H2347" i="4"/>
  <c r="G2347" i="4"/>
  <c r="E2347" i="4" s="1"/>
  <c r="H2414" i="4"/>
  <c r="G2414" i="4"/>
  <c r="E2414" i="4" s="1"/>
  <c r="H2202" i="4"/>
  <c r="G2202" i="4"/>
  <c r="E2202" i="4" s="1"/>
  <c r="H2208" i="4"/>
  <c r="G2208" i="4"/>
  <c r="E2208" i="4" s="1"/>
  <c r="H2214" i="4"/>
  <c r="G2214" i="4"/>
  <c r="E2214" i="4" s="1"/>
  <c r="H2220" i="4"/>
  <c r="G2220" i="4"/>
  <c r="E2220" i="4" s="1"/>
  <c r="H2226" i="4"/>
  <c r="G2226" i="4"/>
  <c r="E2226" i="4" s="1"/>
  <c r="G2232" i="4"/>
  <c r="E2232" i="4" s="1"/>
  <c r="H2232" i="4"/>
  <c r="H2256" i="4"/>
  <c r="G2256" i="4"/>
  <c r="E2256" i="4" s="1"/>
  <c r="H2263" i="4"/>
  <c r="G2263" i="4"/>
  <c r="E2263" i="4" s="1"/>
  <c r="H2279" i="4"/>
  <c r="G2279" i="4"/>
  <c r="E2279" i="4" s="1"/>
  <c r="H2308" i="4"/>
  <c r="G2308" i="4"/>
  <c r="E2308" i="4" s="1"/>
  <c r="H2352" i="4"/>
  <c r="G2352" i="4"/>
  <c r="E2352" i="4" s="1"/>
  <c r="H2371" i="4"/>
  <c r="G2371" i="4"/>
  <c r="E2371" i="4" s="1"/>
  <c r="H2410" i="4"/>
  <c r="G2410" i="4"/>
  <c r="E2410" i="4" s="1"/>
  <c r="H2447" i="4"/>
  <c r="G2447" i="4"/>
  <c r="E2447" i="4" s="1"/>
  <c r="H2480" i="4"/>
  <c r="G2480" i="4"/>
  <c r="E2480" i="4" s="1"/>
  <c r="H2205" i="4"/>
  <c r="H2211" i="4"/>
  <c r="H2223" i="4"/>
  <c r="H2229" i="4"/>
  <c r="H2235" i="4"/>
  <c r="H2242" i="4"/>
  <c r="G2242" i="4"/>
  <c r="E2242" i="4" s="1"/>
  <c r="H2291" i="4"/>
  <c r="H2300" i="4"/>
  <c r="G2300" i="4"/>
  <c r="E2300" i="4" s="1"/>
  <c r="H2362" i="4"/>
  <c r="G2362" i="4"/>
  <c r="E2362" i="4" s="1"/>
  <c r="H2376" i="4"/>
  <c r="G2376" i="4"/>
  <c r="E2376" i="4" s="1"/>
  <c r="H2398" i="4"/>
  <c r="G2398" i="4"/>
  <c r="E2398" i="4" s="1"/>
  <c r="H2402" i="4"/>
  <c r="H2406" i="4"/>
  <c r="G2406" i="4"/>
  <c r="E2406" i="4" s="1"/>
  <c r="G2634" i="4"/>
  <c r="E2634" i="4" s="1"/>
  <c r="H2634" i="4"/>
  <c r="G2668" i="4"/>
  <c r="E2668" i="4" s="1"/>
  <c r="H2668" i="4"/>
  <c r="H2370" i="4"/>
  <c r="G2370" i="4"/>
  <c r="E2370" i="4" s="1"/>
  <c r="H2381" i="4"/>
  <c r="G2381" i="4"/>
  <c r="E2381" i="4" s="1"/>
  <c r="H2418" i="4"/>
  <c r="G2418" i="4"/>
  <c r="E2418" i="4" s="1"/>
  <c r="H2422" i="4"/>
  <c r="G2422" i="4"/>
  <c r="E2422" i="4" s="1"/>
  <c r="H2444" i="4"/>
  <c r="G2444" i="4"/>
  <c r="E2444" i="4" s="1"/>
  <c r="H2374" i="4"/>
  <c r="G2374" i="4"/>
  <c r="E2374" i="4" s="1"/>
  <c r="H2411" i="4"/>
  <c r="G2411" i="4"/>
  <c r="E2411" i="4" s="1"/>
  <c r="H2503" i="4"/>
  <c r="G2503" i="4"/>
  <c r="E2503" i="4" s="1"/>
  <c r="G2554" i="4"/>
  <c r="E2554" i="4" s="1"/>
  <c r="H2554" i="4"/>
  <c r="H2580" i="4"/>
  <c r="G2580" i="4"/>
  <c r="E2580" i="4" s="1"/>
  <c r="G2330" i="4"/>
  <c r="E2330" i="4" s="1"/>
  <c r="G2336" i="4"/>
  <c r="E2336" i="4" s="1"/>
  <c r="H2339" i="4"/>
  <c r="G2339" i="4"/>
  <c r="E2339" i="4" s="1"/>
  <c r="G2392" i="4"/>
  <c r="E2392" i="4" s="1"/>
  <c r="G2407" i="4"/>
  <c r="E2407" i="4" s="1"/>
  <c r="H2465" i="4"/>
  <c r="G2465" i="4"/>
  <c r="E2465" i="4" s="1"/>
  <c r="H2530" i="4"/>
  <c r="G2530" i="4"/>
  <c r="E2530" i="4" s="1"/>
  <c r="H2550" i="4"/>
  <c r="G2349" i="4"/>
  <c r="E2349" i="4" s="1"/>
  <c r="G2353" i="4"/>
  <c r="E2353" i="4" s="1"/>
  <c r="G2378" i="4"/>
  <c r="E2378" i="4" s="1"/>
  <c r="G2385" i="4"/>
  <c r="E2385" i="4" s="1"/>
  <c r="H2435" i="4"/>
  <c r="G2435" i="4"/>
  <c r="E2435" i="4" s="1"/>
  <c r="G2542" i="4"/>
  <c r="E2542" i="4" s="1"/>
  <c r="H2542" i="4"/>
  <c r="H2346" i="4"/>
  <c r="G2346" i="4"/>
  <c r="E2346" i="4" s="1"/>
  <c r="H2357" i="4"/>
  <c r="G2357" i="4"/>
  <c r="E2357" i="4" s="1"/>
  <c r="H2382" i="4"/>
  <c r="G2382" i="4"/>
  <c r="E2382" i="4" s="1"/>
  <c r="H2393" i="4"/>
  <c r="G2393" i="4"/>
  <c r="E2393" i="4" s="1"/>
  <c r="H2495" i="4"/>
  <c r="G2495" i="4"/>
  <c r="E2495" i="4" s="1"/>
  <c r="H2350" i="4"/>
  <c r="G2350" i="4"/>
  <c r="E2350" i="4" s="1"/>
  <c r="H2386" i="4"/>
  <c r="G2386" i="4"/>
  <c r="E2386" i="4" s="1"/>
  <c r="H2412" i="4"/>
  <c r="G2412" i="4"/>
  <c r="E2412" i="4" s="1"/>
  <c r="H2427" i="4"/>
  <c r="G2427" i="4"/>
  <c r="E2427" i="4" s="1"/>
  <c r="H2441" i="4"/>
  <c r="G2441" i="4"/>
  <c r="E2441" i="4" s="1"/>
  <c r="H2450" i="4"/>
  <c r="G2450" i="4"/>
  <c r="E2450" i="4" s="1"/>
  <c r="H2478" i="4"/>
  <c r="G2478" i="4"/>
  <c r="E2478" i="4" s="1"/>
  <c r="H2487" i="4"/>
  <c r="G2487" i="4"/>
  <c r="E2487" i="4" s="1"/>
  <c r="H2264" i="4"/>
  <c r="G2264" i="4"/>
  <c r="E2264" i="4" s="1"/>
  <c r="H2272" i="4"/>
  <c r="G2272" i="4"/>
  <c r="E2272" i="4" s="1"/>
  <c r="H2280" i="4"/>
  <c r="G2280" i="4"/>
  <c r="E2280" i="4" s="1"/>
  <c r="H2288" i="4"/>
  <c r="G2288" i="4"/>
  <c r="E2288" i="4" s="1"/>
  <c r="H2296" i="4"/>
  <c r="G2296" i="4"/>
  <c r="E2296" i="4" s="1"/>
  <c r="H2304" i="4"/>
  <c r="G2304" i="4"/>
  <c r="E2304" i="4" s="1"/>
  <c r="H2312" i="4"/>
  <c r="G2312" i="4"/>
  <c r="E2312" i="4" s="1"/>
  <c r="H2320" i="4"/>
  <c r="G2320" i="4"/>
  <c r="E2320" i="4" s="1"/>
  <c r="H2328" i="4"/>
  <c r="G2328" i="4"/>
  <c r="E2328" i="4" s="1"/>
  <c r="H2334" i="4"/>
  <c r="G2334" i="4"/>
  <c r="E2334" i="4" s="1"/>
  <c r="H2405" i="4"/>
  <c r="G2405" i="4"/>
  <c r="E2405" i="4" s="1"/>
  <c r="H2432" i="4"/>
  <c r="G2432" i="4"/>
  <c r="E2432" i="4" s="1"/>
  <c r="H2519" i="4"/>
  <c r="G2519" i="4"/>
  <c r="E2519" i="4" s="1"/>
  <c r="H2252" i="4"/>
  <c r="G2252" i="4"/>
  <c r="E2252" i="4" s="1"/>
  <c r="G2361" i="4"/>
  <c r="E2361" i="4" s="1"/>
  <c r="G2365" i="4"/>
  <c r="E2365" i="4" s="1"/>
  <c r="G2390" i="4"/>
  <c r="E2390" i="4" s="1"/>
  <c r="H2416" i="4"/>
  <c r="H2358" i="4"/>
  <c r="G2358" i="4"/>
  <c r="E2358" i="4" s="1"/>
  <c r="H2369" i="4"/>
  <c r="G2369" i="4"/>
  <c r="E2369" i="4" s="1"/>
  <c r="H2394" i="4"/>
  <c r="G2394" i="4"/>
  <c r="E2394" i="4" s="1"/>
  <c r="H2417" i="4"/>
  <c r="G2417" i="4"/>
  <c r="E2417" i="4" s="1"/>
  <c r="H2475" i="4"/>
  <c r="G2475" i="4"/>
  <c r="E2475" i="4" s="1"/>
  <c r="H2462" i="4"/>
  <c r="G2462" i="4"/>
  <c r="E2462" i="4" s="1"/>
  <c r="H2488" i="4"/>
  <c r="G2488" i="4"/>
  <c r="E2488" i="4" s="1"/>
  <c r="H2524" i="4"/>
  <c r="G2524" i="4"/>
  <c r="E2524" i="4" s="1"/>
  <c r="H2532" i="4"/>
  <c r="G2532" i="4"/>
  <c r="E2532" i="4" s="1"/>
  <c r="H2496" i="4"/>
  <c r="G2496" i="4"/>
  <c r="E2496" i="4" s="1"/>
  <c r="G2610" i="4"/>
  <c r="E2610" i="4" s="1"/>
  <c r="H2610" i="4"/>
  <c r="G2367" i="4"/>
  <c r="E2367" i="4" s="1"/>
  <c r="G2379" i="4"/>
  <c r="E2379" i="4" s="1"/>
  <c r="G2391" i="4"/>
  <c r="E2391" i="4" s="1"/>
  <c r="G2403" i="4"/>
  <c r="E2403" i="4" s="1"/>
  <c r="G2425" i="4"/>
  <c r="E2425" i="4" s="1"/>
  <c r="G2457" i="4"/>
  <c r="E2457" i="4" s="1"/>
  <c r="G2460" i="4"/>
  <c r="E2460" i="4" s="1"/>
  <c r="G2472" i="4"/>
  <c r="E2472" i="4" s="1"/>
  <c r="H2485" i="4"/>
  <c r="G2485" i="4"/>
  <c r="E2485" i="4" s="1"/>
  <c r="H2548" i="4"/>
  <c r="G2548" i="4"/>
  <c r="E2548" i="4" s="1"/>
  <c r="G2566" i="4"/>
  <c r="E2566" i="4" s="1"/>
  <c r="H2566" i="4"/>
  <c r="H2603" i="4"/>
  <c r="G2603" i="4"/>
  <c r="E2603" i="4" s="1"/>
  <c r="G2430" i="4"/>
  <c r="E2430" i="4" s="1"/>
  <c r="G2448" i="4"/>
  <c r="E2448" i="4" s="1"/>
  <c r="H2493" i="4"/>
  <c r="G2493" i="4"/>
  <c r="E2493" i="4" s="1"/>
  <c r="H2521" i="4"/>
  <c r="H2596" i="4"/>
  <c r="G2596" i="4"/>
  <c r="E2596" i="4" s="1"/>
  <c r="H2455" i="4"/>
  <c r="G2455" i="4"/>
  <c r="E2455" i="4" s="1"/>
  <c r="H2470" i="4"/>
  <c r="G2470" i="4"/>
  <c r="E2470" i="4" s="1"/>
  <c r="H2501" i="4"/>
  <c r="G2501" i="4"/>
  <c r="E2501" i="4" s="1"/>
  <c r="H2509" i="4"/>
  <c r="G2509" i="4"/>
  <c r="E2509" i="4" s="1"/>
  <c r="H2604" i="4"/>
  <c r="G2604" i="4"/>
  <c r="E2604" i="4" s="1"/>
  <c r="G2497" i="4"/>
  <c r="E2497" i="4" s="1"/>
  <c r="G2513" i="4"/>
  <c r="E2513" i="4" s="1"/>
  <c r="G2458" i="4"/>
  <c r="E2458" i="4" s="1"/>
  <c r="G2505" i="4"/>
  <c r="E2505" i="4" s="1"/>
  <c r="G2529" i="4"/>
  <c r="E2529" i="4" s="1"/>
  <c r="H2529" i="4"/>
  <c r="G2534" i="4"/>
  <c r="E2534" i="4" s="1"/>
  <c r="H2534" i="4"/>
  <c r="G2553" i="4"/>
  <c r="E2553" i="4" s="1"/>
  <c r="H2553" i="4"/>
  <c r="G2605" i="4"/>
  <c r="E2605" i="4" s="1"/>
  <c r="H2605" i="4"/>
  <c r="H2506" i="4"/>
  <c r="G2506" i="4"/>
  <c r="E2506" i="4" s="1"/>
  <c r="G2629" i="4"/>
  <c r="E2629" i="4" s="1"/>
  <c r="H2629" i="4"/>
  <c r="G2663" i="4"/>
  <c r="E2663" i="4" s="1"/>
  <c r="H2663" i="4"/>
  <c r="G2678" i="4"/>
  <c r="E2678" i="4" s="1"/>
  <c r="H2678" i="4"/>
  <c r="H2581" i="4"/>
  <c r="G2581" i="4"/>
  <c r="E2581" i="4" s="1"/>
  <c r="H2590" i="4"/>
  <c r="G2590" i="4"/>
  <c r="E2590" i="4" s="1"/>
  <c r="G2679" i="4"/>
  <c r="E2679" i="4" s="1"/>
  <c r="H2679" i="4"/>
  <c r="H2594" i="4"/>
  <c r="G2594" i="4"/>
  <c r="E2594" i="4" s="1"/>
  <c r="G2614" i="4"/>
  <c r="E2614" i="4" s="1"/>
  <c r="H2614" i="4"/>
  <c r="G2641" i="4"/>
  <c r="E2641" i="4" s="1"/>
  <c r="H2641" i="4"/>
  <c r="G2674" i="4"/>
  <c r="E2674" i="4" s="1"/>
  <c r="H2674" i="4"/>
  <c r="G2690" i="4"/>
  <c r="E2690" i="4" s="1"/>
  <c r="H2690" i="4"/>
  <c r="G2735" i="4"/>
  <c r="E2735" i="4" s="1"/>
  <c r="H2735" i="4"/>
  <c r="H2569" i="4"/>
  <c r="G2569" i="4"/>
  <c r="E2569" i="4" s="1"/>
  <c r="H2591" i="4"/>
  <c r="G2591" i="4"/>
  <c r="E2591" i="4" s="1"/>
  <c r="G2608" i="4"/>
  <c r="E2608" i="4" s="1"/>
  <c r="H2608" i="4"/>
  <c r="H2618" i="4"/>
  <c r="G2626" i="4"/>
  <c r="E2626" i="4" s="1"/>
  <c r="H2626" i="4"/>
  <c r="G2650" i="4"/>
  <c r="E2650" i="4" s="1"/>
  <c r="H2650" i="4"/>
  <c r="H2726" i="4"/>
  <c r="G2726" i="4"/>
  <c r="E2726" i="4" s="1"/>
  <c r="G2543" i="4"/>
  <c r="E2543" i="4" s="1"/>
  <c r="G2619" i="4"/>
  <c r="E2619" i="4" s="1"/>
  <c r="H2619" i="4"/>
  <c r="G2656" i="4"/>
  <c r="E2656" i="4" s="1"/>
  <c r="H2656" i="4"/>
  <c r="G2670" i="4"/>
  <c r="E2670" i="4" s="1"/>
  <c r="H2670" i="4"/>
  <c r="H2685" i="4"/>
  <c r="G2691" i="4"/>
  <c r="E2691" i="4" s="1"/>
  <c r="H2691" i="4"/>
  <c r="G2721" i="4"/>
  <c r="E2721" i="4" s="1"/>
  <c r="H2721" i="4"/>
  <c r="H2592" i="4"/>
  <c r="G2592" i="4"/>
  <c r="E2592" i="4" s="1"/>
  <c r="H2601" i="4"/>
  <c r="G2601" i="4"/>
  <c r="E2601" i="4" s="1"/>
  <c r="G2686" i="4"/>
  <c r="E2686" i="4" s="1"/>
  <c r="H2686" i="4"/>
  <c r="G2717" i="4"/>
  <c r="E2717" i="4" s="1"/>
  <c r="H2717" i="4"/>
  <c r="G2517" i="4"/>
  <c r="E2517" i="4" s="1"/>
  <c r="G2525" i="4"/>
  <c r="E2525" i="4" s="1"/>
  <c r="G2560" i="4"/>
  <c r="E2560" i="4" s="1"/>
  <c r="G2632" i="4"/>
  <c r="E2632" i="4" s="1"/>
  <c r="H2632" i="4"/>
  <c r="H2578" i="4"/>
  <c r="H2582" i="4"/>
  <c r="G2582" i="4"/>
  <c r="E2582" i="4" s="1"/>
  <c r="G2612" i="4"/>
  <c r="E2612" i="4" s="1"/>
  <c r="H2612" i="4"/>
  <c r="G2616" i="4"/>
  <c r="E2616" i="4" s="1"/>
  <c r="H2616" i="4"/>
  <c r="G2627" i="4"/>
  <c r="E2627" i="4" s="1"/>
  <c r="H2627" i="4"/>
  <c r="G2638" i="4"/>
  <c r="E2638" i="4" s="1"/>
  <c r="H2638" i="4"/>
  <c r="G2652" i="4"/>
  <c r="E2652" i="4" s="1"/>
  <c r="H2652" i="4"/>
  <c r="G2682" i="4"/>
  <c r="E2682" i="4" s="1"/>
  <c r="H2682" i="4"/>
  <c r="G2520" i="4"/>
  <c r="E2520" i="4" s="1"/>
  <c r="G2544" i="4"/>
  <c r="E2544" i="4" s="1"/>
  <c r="H2579" i="4"/>
  <c r="G2579" i="4"/>
  <c r="E2579" i="4" s="1"/>
  <c r="G2667" i="4"/>
  <c r="E2667" i="4" s="1"/>
  <c r="H2667" i="4"/>
  <c r="G2708" i="4"/>
  <c r="E2708" i="4" s="1"/>
  <c r="H2708" i="4"/>
  <c r="H2567" i="4"/>
  <c r="G2567" i="4"/>
  <c r="E2567" i="4" s="1"/>
  <c r="G2703" i="4"/>
  <c r="E2703" i="4" s="1"/>
  <c r="H2703" i="4"/>
  <c r="H2630" i="4"/>
  <c r="G2645" i="4"/>
  <c r="E2645" i="4" s="1"/>
  <c r="H2645" i="4"/>
  <c r="H2648" i="4"/>
  <c r="G2631" i="4"/>
  <c r="E2631" i="4" s="1"/>
  <c r="H2631" i="4"/>
  <c r="G2649" i="4"/>
  <c r="E2649" i="4" s="1"/>
  <c r="H2649" i="4"/>
  <c r="H2695" i="4"/>
  <c r="H2713" i="4"/>
  <c r="H2664" i="4"/>
  <c r="G2696" i="4"/>
  <c r="E2696" i="4" s="1"/>
  <c r="H2696" i="4"/>
  <c r="G2705" i="4"/>
  <c r="E2705" i="4" s="1"/>
  <c r="H2705" i="4"/>
  <c r="G2714" i="4"/>
  <c r="E2714" i="4" s="1"/>
  <c r="H2714" i="4"/>
  <c r="G2723" i="4"/>
  <c r="E2723" i="4" s="1"/>
  <c r="H2723" i="4"/>
  <c r="G2737" i="4"/>
  <c r="E2737" i="4" s="1"/>
  <c r="H2737" i="4"/>
  <c r="H2741" i="4"/>
  <c r="H2765" i="4"/>
  <c r="G2628" i="4"/>
  <c r="E2628" i="4" s="1"/>
  <c r="H2628" i="4"/>
  <c r="G2639" i="4"/>
  <c r="E2639" i="4" s="1"/>
  <c r="H2639" i="4"/>
  <c r="G2657" i="4"/>
  <c r="E2657" i="4" s="1"/>
  <c r="H2657" i="4"/>
  <c r="G2661" i="4"/>
  <c r="E2661" i="4" s="1"/>
  <c r="H2661" i="4"/>
  <c r="G2692" i="4"/>
  <c r="E2692" i="4" s="1"/>
  <c r="H2692" i="4"/>
  <c r="H2709" i="4"/>
  <c r="G2731" i="4"/>
  <c r="E2731" i="4" s="1"/>
  <c r="H2731" i="4"/>
  <c r="G2643" i="4"/>
  <c r="E2643" i="4" s="1"/>
  <c r="H2643" i="4"/>
  <c r="G2672" i="4"/>
  <c r="E2672" i="4" s="1"/>
  <c r="H2672" i="4"/>
  <c r="G2680" i="4"/>
  <c r="E2680" i="4" s="1"/>
  <c r="H2680" i="4"/>
  <c r="G2684" i="4"/>
  <c r="E2684" i="4" s="1"/>
  <c r="H2684" i="4"/>
  <c r="H2728" i="4"/>
  <c r="G2728" i="4"/>
  <c r="E2728" i="4" s="1"/>
  <c r="H2738" i="4"/>
  <c r="G2738" i="4"/>
  <c r="E2738" i="4" s="1"/>
  <c r="H2762" i="4"/>
  <c r="G2762" i="4"/>
  <c r="E2762" i="4" s="1"/>
  <c r="H2623" i="4"/>
  <c r="H2665" i="4"/>
  <c r="H2676" i="4"/>
  <c r="H2688" i="4"/>
  <c r="H2701" i="4"/>
  <c r="G2620" i="4"/>
  <c r="E2620" i="4" s="1"/>
  <c r="H2620" i="4"/>
  <c r="G2702" i="4"/>
  <c r="E2702" i="4" s="1"/>
  <c r="H2702" i="4"/>
  <c r="G2711" i="4"/>
  <c r="E2711" i="4" s="1"/>
  <c r="H2711" i="4"/>
  <c r="G2720" i="4"/>
  <c r="E2720" i="4" s="1"/>
  <c r="H2720" i="4"/>
  <c r="G2733" i="4"/>
  <c r="E2733" i="4" s="1"/>
  <c r="H2733" i="4"/>
  <c r="G2633" i="4"/>
  <c r="E2633" i="4" s="1"/>
  <c r="H2633" i="4"/>
  <c r="G2651" i="4"/>
  <c r="E2651" i="4" s="1"/>
  <c r="H2651" i="4"/>
  <c r="H2654" i="4"/>
  <c r="H2697" i="4"/>
  <c r="H2715" i="4"/>
  <c r="G2755" i="4"/>
  <c r="E2755" i="4" s="1"/>
  <c r="H2755" i="4"/>
  <c r="G2637" i="4"/>
  <c r="E2637" i="4" s="1"/>
  <c r="H2637" i="4"/>
  <c r="G2655" i="4"/>
  <c r="E2655" i="4" s="1"/>
  <c r="H2655" i="4"/>
  <c r="H2669" i="4"/>
  <c r="H2689" i="4"/>
  <c r="G2698" i="4"/>
  <c r="E2698" i="4" s="1"/>
  <c r="H2698" i="4"/>
  <c r="H2742" i="4"/>
  <c r="G2742" i="4"/>
  <c r="E2742" i="4" s="1"/>
  <c r="H2766" i="4"/>
  <c r="G2766" i="4"/>
  <c r="E2766" i="4" s="1"/>
  <c r="H2732" i="4"/>
  <c r="G2732" i="4"/>
  <c r="E2732" i="4" s="1"/>
  <c r="H2745" i="4"/>
  <c r="H2756" i="4"/>
  <c r="G2756" i="4"/>
  <c r="E2756" i="4" s="1"/>
  <c r="H2704" i="4"/>
  <c r="H2710" i="4"/>
  <c r="H2722" i="4"/>
  <c r="H2746" i="4"/>
  <c r="G2746" i="4"/>
  <c r="E2746" i="4" s="1"/>
  <c r="H2759" i="4"/>
  <c r="H2770" i="4"/>
  <c r="G2770" i="4"/>
  <c r="E2770" i="4" s="1"/>
  <c r="H2736" i="4"/>
  <c r="G2736" i="4"/>
  <c r="E2736" i="4" s="1"/>
  <c r="H2760" i="4"/>
  <c r="G2760" i="4"/>
  <c r="E2760" i="4" s="1"/>
  <c r="H2739" i="4"/>
  <c r="H2750" i="4"/>
  <c r="G2750" i="4"/>
  <c r="E2750" i="4" s="1"/>
  <c r="H2763" i="4"/>
  <c r="H2740" i="4"/>
  <c r="G2740" i="4"/>
  <c r="E2740" i="4" s="1"/>
  <c r="H2764" i="4"/>
  <c r="G2764" i="4"/>
  <c r="E2764" i="4" s="1"/>
  <c r="H2730" i="4"/>
  <c r="G2730" i="4"/>
  <c r="E2730" i="4" s="1"/>
  <c r="H2743" i="4"/>
  <c r="H2754" i="4"/>
  <c r="G2754" i="4"/>
  <c r="E2754" i="4" s="1"/>
  <c r="H2767" i="4"/>
  <c r="H2744" i="4"/>
  <c r="G2744" i="4"/>
  <c r="E2744" i="4" s="1"/>
  <c r="H2768" i="4"/>
  <c r="G2768" i="4"/>
  <c r="E2768" i="4" s="1"/>
  <c r="H2734" i="4"/>
  <c r="G2734" i="4"/>
  <c r="E2734" i="4" s="1"/>
  <c r="H2747" i="4"/>
  <c r="H2758" i="4"/>
  <c r="G2758" i="4"/>
  <c r="E2758" i="4" s="1"/>
  <c r="H2748" i="4"/>
  <c r="G2748" i="4"/>
  <c r="E2748" i="4" s="1"/>
  <c r="G2771" i="4"/>
  <c r="E2771" i="4" s="1"/>
  <c r="G1736" i="4" l="1"/>
  <c r="E1736" i="4" s="1"/>
  <c r="G193" i="4"/>
  <c r="E193" i="4" s="1"/>
  <c r="G11" i="4"/>
  <c r="E11" i="4" s="1"/>
  <c r="H403" i="4"/>
  <c r="H1501" i="4"/>
  <c r="H284" i="4"/>
  <c r="G2769" i="4"/>
  <c r="E2769" i="4" s="1"/>
  <c r="H1583" i="4"/>
  <c r="H1726" i="4"/>
  <c r="G177" i="4"/>
  <c r="E177" i="4" s="1"/>
  <c r="H1888" i="4"/>
  <c r="G2700" i="4"/>
  <c r="E2700" i="4" s="1"/>
  <c r="G148" i="4"/>
  <c r="E148" i="4" s="1"/>
  <c r="H2108" i="4"/>
  <c r="G1746" i="4"/>
  <c r="E1746" i="4" s="1"/>
  <c r="G91" i="4"/>
  <c r="E91" i="4" s="1"/>
  <c r="G181" i="4"/>
  <c r="E181" i="4" s="1"/>
  <c r="G2409" i="4"/>
  <c r="E2409" i="4" s="1"/>
  <c r="G348" i="4"/>
  <c r="E348" i="4" s="1"/>
  <c r="G119" i="4"/>
  <c r="E119" i="4" s="1"/>
  <c r="G1865" i="4"/>
  <c r="E1865" i="4" s="1"/>
  <c r="G2338" i="4"/>
  <c r="E2338" i="4" s="1"/>
  <c r="G2245" i="4"/>
  <c r="E2245" i="4" s="1"/>
  <c r="G766" i="4"/>
  <c r="E766" i="4" s="1"/>
  <c r="G795" i="4"/>
  <c r="E795" i="4" s="1"/>
  <c r="H1967" i="4"/>
  <c r="G1551" i="4"/>
  <c r="E1551" i="4" s="1"/>
  <c r="H286" i="4"/>
  <c r="G1408" i="4"/>
  <c r="E1408" i="4" s="1"/>
  <c r="H1899" i="4"/>
  <c r="G1394" i="4"/>
  <c r="E1394" i="4" s="1"/>
  <c r="G697" i="4"/>
  <c r="E697" i="4" s="1"/>
  <c r="G1691" i="4"/>
  <c r="E1691" i="4" s="1"/>
  <c r="G1963" i="4"/>
  <c r="E1963" i="4" s="1"/>
  <c r="G2673" i="4"/>
  <c r="E2673" i="4" s="1"/>
  <c r="G952" i="4"/>
  <c r="E952" i="4" s="1"/>
  <c r="G1659" i="4"/>
  <c r="E1659" i="4" s="1"/>
  <c r="H2424" i="4"/>
  <c r="H702" i="4"/>
  <c r="G2354" i="4"/>
  <c r="E2354" i="4" s="1"/>
  <c r="H2313" i="4"/>
  <c r="G1418" i="4"/>
  <c r="E1418" i="4" s="1"/>
  <c r="H2231" i="4"/>
  <c r="G1891" i="4"/>
  <c r="E1891" i="4" s="1"/>
  <c r="G1615" i="4"/>
  <c r="E1615" i="4" s="1"/>
  <c r="G1401" i="4"/>
  <c r="E1401" i="4" s="1"/>
  <c r="G674" i="4"/>
  <c r="E674" i="4" s="1"/>
  <c r="H872" i="4"/>
  <c r="H164" i="4"/>
  <c r="H1549" i="4"/>
  <c r="H115" i="4"/>
  <c r="G2333" i="4"/>
  <c r="E2333" i="4" s="1"/>
  <c r="H738" i="4"/>
  <c r="H2380" i="4"/>
  <c r="G1959" i="4"/>
  <c r="E1959" i="4" s="1"/>
  <c r="H1509" i="4"/>
  <c r="H399" i="4"/>
  <c r="H415" i="4"/>
  <c r="G211" i="4"/>
  <c r="E211" i="4" s="1"/>
  <c r="G1811" i="4"/>
  <c r="E1811" i="4" s="1"/>
  <c r="H514" i="4"/>
  <c r="G1126" i="4"/>
  <c r="E1126" i="4" s="1"/>
  <c r="H2217" i="4"/>
  <c r="G2355" i="4"/>
  <c r="E2355" i="4" s="1"/>
  <c r="H201" i="4"/>
  <c r="G2666" i="4"/>
  <c r="E2666" i="4" s="1"/>
  <c r="G1700" i="4"/>
  <c r="E1700" i="4" s="1"/>
  <c r="H391" i="4"/>
  <c r="G192" i="4"/>
  <c r="E192" i="4" s="1"/>
  <c r="G319" i="4"/>
  <c r="E319" i="4" s="1"/>
  <c r="H1393" i="4"/>
  <c r="G1395" i="4"/>
  <c r="E1395" i="4" s="1"/>
  <c r="H190" i="4"/>
  <c r="G1284" i="4"/>
  <c r="E1284" i="4" s="1"/>
  <c r="G2275" i="4"/>
  <c r="E2275" i="4" s="1"/>
  <c r="H1468" i="4"/>
  <c r="H2168" i="4"/>
  <c r="H273" i="4"/>
  <c r="G545" i="4"/>
  <c r="E545" i="4" s="1"/>
  <c r="H262" i="4"/>
  <c r="G498" i="4"/>
  <c r="E498" i="4" s="1"/>
  <c r="H544" i="4"/>
  <c r="H2305" i="4"/>
  <c r="G244" i="4"/>
  <c r="E244" i="4" s="1"/>
  <c r="H2729" i="4"/>
  <c r="G65" i="4"/>
  <c r="E65" i="4" s="1"/>
  <c r="G1908" i="4"/>
  <c r="E1908" i="4" s="1"/>
  <c r="G314" i="4"/>
  <c r="E314" i="4" s="1"/>
  <c r="G2599" i="4"/>
  <c r="E2599" i="4" s="1"/>
  <c r="H1429" i="4"/>
  <c r="G365" i="4"/>
  <c r="E365" i="4" s="1"/>
  <c r="H1969" i="4"/>
  <c r="H905" i="4"/>
  <c r="G1651" i="4"/>
  <c r="E1651" i="4" s="1"/>
  <c r="H1406" i="4"/>
  <c r="G2415" i="4"/>
  <c r="E2415" i="4" s="1"/>
  <c r="G900" i="4"/>
  <c r="E900" i="4" s="1"/>
  <c r="G839" i="4"/>
  <c r="E839" i="4" s="1"/>
  <c r="G107" i="4"/>
  <c r="E107" i="4" s="1"/>
  <c r="H1092" i="4"/>
  <c r="G140" i="4"/>
  <c r="E140" i="4" s="1"/>
  <c r="G35" i="4"/>
  <c r="E35" i="4" s="1"/>
  <c r="H1741" i="4"/>
  <c r="H833" i="4"/>
  <c r="G1879" i="4"/>
  <c r="E1879" i="4" s="1"/>
  <c r="H1177" i="4"/>
  <c r="G2574" i="4"/>
  <c r="E2574" i="4" s="1"/>
  <c r="G1578" i="4"/>
  <c r="E1578" i="4" s="1"/>
  <c r="G253" i="4"/>
  <c r="E253" i="4" s="1"/>
  <c r="G728" i="4"/>
  <c r="E728" i="4" s="1"/>
  <c r="H2161" i="4"/>
  <c r="H51" i="4"/>
  <c r="H15" i="4"/>
  <c r="G2753" i="4"/>
  <c r="E2753" i="4" s="1"/>
  <c r="H2329" i="4"/>
  <c r="G2233" i="4"/>
  <c r="E2233" i="4" s="1"/>
  <c r="G2137" i="4"/>
  <c r="E2137" i="4" s="1"/>
  <c r="G1993" i="4"/>
  <c r="E1993" i="4" s="1"/>
  <c r="G1957" i="4"/>
  <c r="E1957" i="4" s="1"/>
  <c r="H1765" i="4"/>
  <c r="H1711" i="4"/>
  <c r="H1663" i="4"/>
  <c r="G1621" i="4"/>
  <c r="E1621" i="4" s="1"/>
  <c r="G1519" i="4"/>
  <c r="E1519" i="4" s="1"/>
  <c r="H1471" i="4"/>
  <c r="H1255" i="4"/>
  <c r="H890" i="4"/>
  <c r="G775" i="4"/>
  <c r="E775" i="4" s="1"/>
  <c r="H692" i="4"/>
  <c r="H458" i="4"/>
  <c r="H272" i="4"/>
  <c r="H19" i="4"/>
  <c r="H259" i="4"/>
  <c r="H199" i="4"/>
  <c r="H145" i="4"/>
  <c r="H31" i="4"/>
  <c r="G2507" i="4"/>
  <c r="E2507" i="4" s="1"/>
  <c r="G2052" i="4"/>
  <c r="E2052" i="4" s="1"/>
  <c r="H1770" i="4"/>
  <c r="H1512" i="4"/>
  <c r="H1116" i="4"/>
  <c r="G883" i="4"/>
  <c r="E883" i="4" s="1"/>
  <c r="G559" i="4"/>
  <c r="E559" i="4" s="1"/>
  <c r="H271" i="4"/>
  <c r="H169" i="4"/>
  <c r="H2273" i="4"/>
  <c r="H1985" i="4"/>
  <c r="H1649" i="4"/>
  <c r="G1565" i="4"/>
  <c r="E1565" i="4" s="1"/>
  <c r="H761" i="4"/>
  <c r="H389" i="4"/>
  <c r="H179" i="4"/>
  <c r="H1930" i="4"/>
  <c r="G1834" i="4"/>
  <c r="E1834" i="4" s="1"/>
  <c r="G1444" i="4"/>
  <c r="E1444" i="4" s="1"/>
  <c r="H1132" i="4"/>
  <c r="H857" i="4"/>
  <c r="H335" i="4"/>
  <c r="H111" i="4"/>
  <c r="H586" i="4"/>
  <c r="G328" i="4"/>
  <c r="E328" i="4" s="1"/>
  <c r="H2624" i="4"/>
  <c r="H2522" i="4"/>
  <c r="H2265" i="4"/>
  <c r="G2007" i="4"/>
  <c r="E2007" i="4" s="1"/>
  <c r="G7" i="4"/>
  <c r="E7" i="4" s="1"/>
  <c r="H1987" i="4"/>
  <c r="G878" i="4"/>
  <c r="E878" i="4" s="1"/>
  <c r="G2005" i="4"/>
  <c r="E2005" i="4" s="1"/>
  <c r="G1465" i="4"/>
  <c r="E1465" i="4" s="1"/>
  <c r="H1785" i="4"/>
  <c r="G1441" i="4"/>
  <c r="E1441" i="4" s="1"/>
  <c r="G367" i="4"/>
  <c r="E367" i="4" s="1"/>
  <c r="G1693" i="4"/>
  <c r="E1693" i="4" s="1"/>
  <c r="H2125" i="4"/>
  <c r="H1951" i="4"/>
  <c r="H1657" i="4"/>
  <c r="G884" i="4"/>
  <c r="E884" i="4" s="1"/>
  <c r="H350" i="4"/>
  <c r="G1925" i="4"/>
  <c r="E1925" i="4" s="1"/>
  <c r="G1687" i="4"/>
  <c r="E1687" i="4" s="1"/>
  <c r="H133" i="4"/>
  <c r="G898" i="4"/>
  <c r="E898" i="4" s="1"/>
  <c r="G1647" i="4"/>
  <c r="E1647" i="4" s="1"/>
  <c r="G1579" i="4"/>
  <c r="E1579" i="4" s="1"/>
  <c r="H1559" i="4"/>
  <c r="H326" i="4"/>
  <c r="H564" i="4"/>
  <c r="H1532" i="4"/>
  <c r="H1475" i="4"/>
  <c r="G553" i="4"/>
  <c r="E553" i="4" s="1"/>
  <c r="G1233" i="4"/>
  <c r="E1233" i="4" s="1"/>
  <c r="H1288" i="4"/>
  <c r="G649" i="4"/>
  <c r="E649" i="4" s="1"/>
  <c r="H1660" i="4"/>
  <c r="G1331" i="4"/>
  <c r="E1331" i="4" s="1"/>
  <c r="G1791" i="4"/>
  <c r="E1791" i="4" s="1"/>
  <c r="G1385" i="4"/>
  <c r="E1385" i="4" s="1"/>
  <c r="G936" i="4"/>
  <c r="E936" i="4" s="1"/>
  <c r="G625" i="4"/>
  <c r="E625" i="4" s="1"/>
  <c r="G852" i="4"/>
  <c r="E852" i="4" s="1"/>
  <c r="G349" i="4"/>
  <c r="E349" i="4" s="1"/>
  <c r="G2439" i="4"/>
  <c r="E2439" i="4" s="1"/>
  <c r="G1568" i="4"/>
  <c r="E1568" i="4" s="1"/>
  <c r="H853" i="4"/>
  <c r="G613" i="4"/>
  <c r="E613" i="4" s="1"/>
  <c r="H825" i="4"/>
  <c r="G542" i="4"/>
  <c r="E542" i="4" s="1"/>
  <c r="G453" i="4"/>
  <c r="E453" i="4" s="1"/>
  <c r="G1214" i="4"/>
  <c r="E1214" i="4" s="1"/>
  <c r="H1182" i="4"/>
  <c r="H1795" i="4"/>
  <c r="G1377" i="4"/>
  <c r="E1377" i="4" s="1"/>
  <c r="G912" i="4"/>
  <c r="E912" i="4" s="1"/>
  <c r="G937" i="4"/>
  <c r="E937" i="4" s="1"/>
  <c r="G596" i="4"/>
  <c r="E596" i="4" s="1"/>
  <c r="G2122" i="4"/>
  <c r="E2122" i="4" s="1"/>
  <c r="G1703" i="4"/>
  <c r="E1703" i="4" s="1"/>
  <c r="G1357" i="4"/>
  <c r="E1357" i="4" s="1"/>
  <c r="G1202" i="4"/>
  <c r="E1202" i="4" s="1"/>
  <c r="G1249" i="4"/>
  <c r="E1249" i="4" s="1"/>
  <c r="G906" i="4"/>
  <c r="E906" i="4" s="1"/>
  <c r="G925" i="4"/>
  <c r="E925" i="4" s="1"/>
  <c r="G1827" i="4"/>
  <c r="E1827" i="4" s="1"/>
  <c r="G2531" i="4"/>
  <c r="E2531" i="4" s="1"/>
  <c r="H1346" i="4"/>
  <c r="G1201" i="4"/>
  <c r="E1201" i="4" s="1"/>
  <c r="G492" i="4"/>
  <c r="E492" i="4" s="1"/>
  <c r="H1384" i="4"/>
  <c r="H971" i="4"/>
  <c r="G426" i="4"/>
  <c r="E426" i="4" s="1"/>
  <c r="G1309" i="4"/>
  <c r="E1309" i="4" s="1"/>
  <c r="G1117" i="4"/>
  <c r="E1117" i="4" s="1"/>
  <c r="G441" i="4"/>
  <c r="E441" i="4" s="1"/>
  <c r="H1413" i="4"/>
  <c r="G1262" i="4"/>
  <c r="E1262" i="4" s="1"/>
  <c r="H1634" i="4"/>
  <c r="G1387" i="4"/>
  <c r="E1387" i="4" s="1"/>
  <c r="H420" i="4"/>
  <c r="G1515" i="4"/>
  <c r="E1515" i="4" s="1"/>
  <c r="H1620" i="4"/>
  <c r="G1246" i="4"/>
  <c r="E1246" i="4" s="1"/>
  <c r="H1312" i="4"/>
  <c r="G550" i="4"/>
  <c r="E550" i="4" s="1"/>
  <c r="H1019" i="4"/>
  <c r="H1068" i="4"/>
  <c r="G1864" i="4"/>
  <c r="E1864" i="4" s="1"/>
  <c r="H1807" i="4"/>
  <c r="H1423" i="4"/>
  <c r="G1193" i="4"/>
  <c r="E1193" i="4" s="1"/>
  <c r="G924" i="4"/>
  <c r="E924" i="4" s="1"/>
  <c r="G780" i="4"/>
  <c r="E780" i="4" s="1"/>
  <c r="G1379" i="4"/>
  <c r="E1379" i="4" s="1"/>
  <c r="H817" i="4"/>
  <c r="G2512" i="4"/>
  <c r="E2512" i="4" s="1"/>
  <c r="H1684" i="4"/>
  <c r="G782" i="4"/>
  <c r="E782" i="4" s="1"/>
  <c r="G1608" i="4"/>
  <c r="E1608" i="4" s="1"/>
  <c r="H829" i="4"/>
  <c r="H1280" i="4"/>
  <c r="H983" i="4"/>
  <c r="G587" i="4"/>
  <c r="E587" i="4" s="1"/>
  <c r="G1295" i="4"/>
  <c r="E1295" i="4" s="1"/>
  <c r="G589" i="4"/>
  <c r="E589" i="4" s="1"/>
  <c r="G465" i="4"/>
  <c r="E465" i="4" s="1"/>
  <c r="H1290" i="4"/>
  <c r="G429" i="4"/>
  <c r="E429" i="4" s="1"/>
  <c r="H2249" i="4"/>
  <c r="H1594" i="4"/>
  <c r="G1095" i="4"/>
  <c r="E1095" i="4" s="1"/>
  <c r="G356" i="4"/>
  <c r="E356" i="4" s="1"/>
  <c r="G1222" i="4"/>
  <c r="E1222" i="4" s="1"/>
  <c r="G707" i="4"/>
  <c r="E707" i="4" s="1"/>
  <c r="G684" i="4"/>
  <c r="E684" i="4" s="1"/>
  <c r="G1932" i="4"/>
  <c r="E1932" i="4" s="1"/>
  <c r="G392" i="4"/>
  <c r="E392" i="4" s="1"/>
  <c r="H1488" i="4"/>
  <c r="G1567" i="4"/>
  <c r="E1567" i="4" s="1"/>
  <c r="H1386" i="4"/>
  <c r="G1648" i="4"/>
  <c r="E1648" i="4" s="1"/>
  <c r="G698" i="4"/>
  <c r="E698" i="4" s="1"/>
  <c r="H2360" i="4"/>
  <c r="G2510" i="4"/>
  <c r="E2510" i="4" s="1"/>
  <c r="H2533" i="4"/>
  <c r="H2576" i="4"/>
  <c r="H2681" i="4"/>
  <c r="G2504" i="4"/>
  <c r="E2504" i="4" s="1"/>
  <c r="G2451" i="4"/>
  <c r="E2451" i="4" s="1"/>
  <c r="H398" i="4"/>
  <c r="G2442" i="4"/>
  <c r="E2442" i="4" s="1"/>
  <c r="H2237" i="4"/>
  <c r="H1323" i="4"/>
  <c r="H1152" i="4"/>
  <c r="G1707" i="4"/>
  <c r="E1707" i="4" s="1"/>
  <c r="H1293" i="4"/>
  <c r="H907" i="4"/>
  <c r="G2494" i="4"/>
  <c r="E2494" i="4" s="1"/>
  <c r="G1274" i="4"/>
  <c r="E1274" i="4" s="1"/>
  <c r="G524" i="4"/>
  <c r="E524" i="4" s="1"/>
  <c r="H1582" i="4"/>
  <c r="G1848" i="4"/>
  <c r="E1848" i="4" s="1"/>
  <c r="G1268" i="4"/>
  <c r="E1268" i="4" s="1"/>
  <c r="G1355" i="4"/>
  <c r="E1355" i="4" s="1"/>
  <c r="G1277" i="4"/>
  <c r="E1277" i="4" s="1"/>
  <c r="G1226" i="4"/>
  <c r="E1226" i="4" s="1"/>
  <c r="G1680" i="4"/>
  <c r="E1680" i="4" s="1"/>
  <c r="H973" i="4"/>
  <c r="H1270" i="4"/>
  <c r="H2719" i="4"/>
  <c r="H1241" i="4"/>
  <c r="G2389" i="4"/>
  <c r="E2389" i="4" s="1"/>
  <c r="G2484" i="4"/>
  <c r="E2484" i="4" s="1"/>
  <c r="G2413" i="4"/>
  <c r="E2413" i="4" s="1"/>
  <c r="G1843" i="4"/>
  <c r="E1843" i="4" s="1"/>
  <c r="G388" i="4"/>
  <c r="E388" i="4" s="1"/>
  <c r="H2693" i="4"/>
  <c r="G2277" i="4"/>
  <c r="E2277" i="4" s="1"/>
  <c r="H1105" i="4"/>
  <c r="G1171" i="4"/>
  <c r="E1171" i="4" s="1"/>
  <c r="H1129" i="4"/>
  <c r="G1296" i="4"/>
  <c r="E1296" i="4" s="1"/>
  <c r="H676" i="4"/>
  <c r="H1851" i="4"/>
  <c r="H1269" i="4"/>
  <c r="G2443" i="4"/>
  <c r="E2443" i="4" s="1"/>
  <c r="H1373" i="4"/>
  <c r="H1482" i="4"/>
  <c r="H1139" i="4"/>
  <c r="G1316" i="4"/>
  <c r="E1316" i="4" s="1"/>
  <c r="H2502" i="4"/>
  <c r="H1159" i="4"/>
  <c r="H1847" i="4"/>
  <c r="G978" i="4"/>
  <c r="E978" i="4" s="1"/>
  <c r="H2446" i="4"/>
  <c r="G2098" i="4"/>
  <c r="E2098" i="4" s="1"/>
  <c r="H1473" i="4"/>
  <c r="G1421" i="4"/>
  <c r="E1421" i="4" s="1"/>
  <c r="G1294" i="4"/>
  <c r="E1294" i="4" s="1"/>
  <c r="H1859" i="4"/>
  <c r="H645" i="4"/>
  <c r="G1374" i="4"/>
  <c r="E1374" i="4" s="1"/>
  <c r="H1060" i="4"/>
  <c r="G2175" i="4"/>
  <c r="E2175" i="4" s="1"/>
  <c r="H1137" i="4"/>
  <c r="H647" i="4"/>
  <c r="G1531" i="4"/>
  <c r="E1531" i="4" s="1"/>
  <c r="H1024" i="4"/>
  <c r="G2707" i="4"/>
  <c r="E2707" i="4" s="1"/>
  <c r="G1354" i="4"/>
  <c r="E1354" i="4" s="1"/>
  <c r="H621" i="4"/>
  <c r="H1369" i="4"/>
  <c r="H1840" i="4"/>
  <c r="H943" i="4"/>
  <c r="G2269" i="4"/>
  <c r="E2269" i="4" s="1"/>
  <c r="H1099" i="4"/>
  <c r="H1180" i="4"/>
  <c r="G2660" i="4"/>
  <c r="E2660" i="4" s="1"/>
  <c r="G1616" i="4"/>
  <c r="E1616" i="4" s="1"/>
  <c r="G1348" i="4"/>
  <c r="E1348" i="4" s="1"/>
  <c r="H1793" i="4"/>
  <c r="G606" i="4"/>
  <c r="E606" i="4" s="1"/>
  <c r="G1364" i="4"/>
  <c r="E1364" i="4" s="1"/>
  <c r="G1884" i="4"/>
  <c r="E1884" i="4" s="1"/>
  <c r="H1196" i="4"/>
  <c r="G1410" i="4"/>
  <c r="E1410" i="4" s="1"/>
  <c r="G1154" i="4"/>
  <c r="E1154" i="4" s="1"/>
  <c r="G1672" i="4"/>
  <c r="E1672" i="4" s="1"/>
  <c r="H1448" i="4"/>
  <c r="G1320" i="4"/>
  <c r="E1320" i="4" s="1"/>
  <c r="G1640" i="4"/>
  <c r="E1640" i="4" s="1"/>
  <c r="H1327" i="4"/>
  <c r="H1014" i="4"/>
  <c r="H2459" i="4"/>
  <c r="H1886" i="4"/>
  <c r="H1299" i="4"/>
  <c r="H1275" i="4"/>
  <c r="H1282" i="4"/>
  <c r="G1286" i="4"/>
  <c r="E1286" i="4" s="1"/>
  <c r="H569" i="4"/>
  <c r="G424" i="4"/>
  <c r="E424" i="4" s="1"/>
  <c r="H917" i="4"/>
  <c r="H416" i="4"/>
  <c r="H1264" i="4"/>
  <c r="H985" i="4"/>
  <c r="H633" i="4"/>
  <c r="H575" i="4"/>
  <c r="H1170" i="4"/>
  <c r="H700" i="4"/>
  <c r="H584" i="4"/>
  <c r="G1459" i="4"/>
  <c r="E1459" i="4" s="1"/>
  <c r="H1188" i="4"/>
  <c r="H834" i="4"/>
  <c r="H2492" i="4"/>
  <c r="H1121" i="4"/>
  <c r="G1831" i="4"/>
  <c r="E1831" i="4" s="1"/>
  <c r="G2589" i="4"/>
  <c r="E2589" i="4" s="1"/>
  <c r="G2034" i="4"/>
  <c r="E2034" i="4" s="1"/>
  <c r="G2283" i="4"/>
  <c r="E2283" i="4" s="1"/>
  <c r="H2523" i="4"/>
  <c r="H2454" i="4"/>
  <c r="H387" i="4"/>
  <c r="H644" i="4"/>
  <c r="H629" i="4"/>
  <c r="H1435" i="4"/>
  <c r="H469" i="4"/>
  <c r="G1382" i="4"/>
  <c r="E1382" i="4" s="1"/>
  <c r="H1156" i="4"/>
  <c r="H2456" i="4"/>
  <c r="H2463" i="4"/>
  <c r="G2445" i="4"/>
  <c r="E2445" i="4" s="1"/>
  <c r="H1563" i="4"/>
  <c r="G1350" i="4"/>
  <c r="E1350" i="4" s="1"/>
  <c r="H2518" i="4"/>
  <c r="H1345" i="4"/>
  <c r="G1358" i="4"/>
  <c r="E1358" i="4" s="1"/>
  <c r="G1292" i="4"/>
  <c r="E1292" i="4" s="1"/>
  <c r="G2449" i="4"/>
  <c r="E2449" i="4" s="1"/>
  <c r="G1208" i="4"/>
  <c r="E1208" i="4" s="1"/>
  <c r="H810" i="4"/>
  <c r="H723" i="4"/>
  <c r="H327" i="4"/>
  <c r="H480" i="4"/>
  <c r="G1018" i="4"/>
  <c r="E1018" i="4" s="1"/>
  <c r="G1148" i="4"/>
  <c r="E1148" i="4" s="1"/>
  <c r="H1179" i="4"/>
  <c r="G1372" i="4"/>
  <c r="E1372" i="4" s="1"/>
  <c r="H1091" i="4"/>
  <c r="H2452" i="4"/>
  <c r="H2440" i="4"/>
  <c r="H2134" i="4"/>
  <c r="G2387" i="4"/>
  <c r="E2387" i="4" s="1"/>
  <c r="H1375" i="4"/>
  <c r="H806" i="4"/>
  <c r="H440" i="4"/>
  <c r="G982" i="4"/>
  <c r="E982" i="4" s="1"/>
  <c r="H581" i="4"/>
  <c r="H1097" i="4"/>
  <c r="H1351" i="4"/>
  <c r="H1107" i="4"/>
  <c r="H1367" i="4"/>
  <c r="G1324" i="4"/>
  <c r="E1324" i="4" s="1"/>
  <c r="H2489" i="4"/>
  <c r="H1131" i="4"/>
  <c r="H1164" i="4"/>
  <c r="H2559" i="4"/>
  <c r="G2050" i="4"/>
  <c r="E2050" i="4" s="1"/>
  <c r="H2015" i="4"/>
  <c r="H1250" i="4"/>
  <c r="G1424" i="4"/>
  <c r="E1424" i="4" s="1"/>
  <c r="H1209" i="4"/>
  <c r="G1224" i="4"/>
  <c r="E1224" i="4" s="1"/>
  <c r="H1398" i="4"/>
  <c r="H1371" i="4"/>
  <c r="G1344" i="4"/>
  <c r="E1344" i="4" s="1"/>
  <c r="G801" i="4"/>
  <c r="E801" i="4" s="1"/>
  <c r="H641" i="4"/>
  <c r="H1905" i="4"/>
  <c r="G435" i="4"/>
  <c r="E435" i="4" s="1"/>
  <c r="H576" i="4"/>
  <c r="H1113" i="4"/>
  <c r="H609" i="4"/>
  <c r="H1283" i="4"/>
  <c r="G970" i="4"/>
  <c r="E970" i="4" s="1"/>
  <c r="G2431" i="4"/>
  <c r="E2431" i="4" s="1"/>
  <c r="G2285" i="4"/>
  <c r="E2285" i="4" s="1"/>
  <c r="H2401" i="4"/>
  <c r="H2583" i="4"/>
  <c r="G2588" i="4"/>
  <c r="E2588" i="4" s="1"/>
  <c r="G2482" i="4"/>
  <c r="E2482" i="4" s="1"/>
  <c r="H2325" i="4"/>
  <c r="H1343" i="4"/>
  <c r="G1216" i="4"/>
  <c r="E1216" i="4" s="1"/>
  <c r="H792" i="4"/>
  <c r="H408" i="4"/>
  <c r="G922" i="4"/>
  <c r="E922" i="4" s="1"/>
  <c r="H518" i="4"/>
  <c r="H657" i="4"/>
  <c r="G1248" i="4"/>
  <c r="E1248" i="4" s="1"/>
  <c r="H704" i="4"/>
  <c r="G2593" i="4"/>
  <c r="E2593" i="4" s="1"/>
  <c r="G2514" i="4"/>
  <c r="E2514" i="4" s="1"/>
  <c r="H2467" i="4"/>
  <c r="H2716" i="4"/>
  <c r="G2535" i="4"/>
  <c r="E2535" i="4" s="1"/>
  <c r="H2636" i="4"/>
  <c r="G2568" i="4"/>
  <c r="E2568" i="4" s="1"/>
  <c r="H2377" i="4"/>
  <c r="G2396" i="4"/>
  <c r="E2396" i="4" s="1"/>
  <c r="H2516" i="4"/>
  <c r="G2658" i="4"/>
  <c r="E2658" i="4" s="1"/>
  <c r="H2464" i="4"/>
  <c r="G2337" i="4"/>
  <c r="E2337" i="4" s="1"/>
  <c r="H2613" i="4"/>
  <c r="H1818" i="4"/>
  <c r="H1411" i="4"/>
  <c r="G1330" i="4"/>
  <c r="E1330" i="4" s="1"/>
  <c r="H1258" i="4"/>
  <c r="G1632" i="4"/>
  <c r="E1632" i="4" s="1"/>
  <c r="H1301" i="4"/>
  <c r="G1443" i="4"/>
  <c r="E1443" i="4" s="1"/>
  <c r="G1232" i="4"/>
  <c r="E1232" i="4" s="1"/>
  <c r="G1558" i="4"/>
  <c r="E1558" i="4" s="1"/>
  <c r="G1172" i="4"/>
  <c r="E1172" i="4" s="1"/>
  <c r="H668" i="4"/>
  <c r="G1326" i="4"/>
  <c r="E1326" i="4" s="1"/>
  <c r="G1158" i="4"/>
  <c r="E1158" i="4" s="1"/>
  <c r="H361" i="4"/>
  <c r="G1696" i="4"/>
  <c r="E1696" i="4" s="1"/>
  <c r="G1342" i="4"/>
  <c r="E1342" i="4" s="1"/>
  <c r="G813" i="4"/>
  <c r="E813" i="4" s="1"/>
  <c r="G1472" i="4"/>
  <c r="E1472" i="4" s="1"/>
  <c r="G2479" i="4"/>
  <c r="E2479" i="4" s="1"/>
  <c r="H2139" i="4"/>
  <c r="G2343" i="4"/>
  <c r="E2343" i="4" s="1"/>
  <c r="H2571" i="4"/>
  <c r="H2335" i="4"/>
  <c r="H1570" i="4"/>
  <c r="G1340" i="4"/>
  <c r="E1340" i="4" s="1"/>
  <c r="H2547" i="4"/>
  <c r="G1569" i="4"/>
  <c r="E1569" i="4" s="1"/>
  <c r="G1334" i="4"/>
  <c r="E1334" i="4" s="1"/>
  <c r="H919" i="4"/>
  <c r="G436" i="4"/>
  <c r="E436" i="4" s="1"/>
  <c r="H1297" i="4"/>
  <c r="H1146" i="4"/>
  <c r="H372" i="4"/>
  <c r="G381" i="4"/>
  <c r="E381" i="4" s="1"/>
  <c r="H410" i="4"/>
  <c r="H422" i="4"/>
  <c r="G2481" i="4"/>
  <c r="E2481" i="4" s="1"/>
  <c r="G2351" i="4"/>
  <c r="E2351" i="4" s="1"/>
  <c r="G2404" i="4"/>
  <c r="E2404" i="4" s="1"/>
  <c r="H2549" i="4"/>
  <c r="G2299" i="4"/>
  <c r="E2299" i="4" s="1"/>
  <c r="H2564" i="4"/>
  <c r="H2341" i="4"/>
  <c r="G2552" i="4"/>
  <c r="E2552" i="4" s="1"/>
  <c r="G1404" i="4"/>
  <c r="E1404" i="4" s="1"/>
  <c r="H1169" i="4"/>
  <c r="H1039" i="4"/>
  <c r="H1906" i="4"/>
  <c r="H1552" i="4"/>
  <c r="G1352" i="4"/>
  <c r="E1352" i="4" s="1"/>
  <c r="G1161" i="4"/>
  <c r="E1161" i="4" s="1"/>
  <c r="H1390" i="4"/>
  <c r="H1043" i="4"/>
  <c r="H1836" i="4"/>
  <c r="H1276" i="4"/>
  <c r="G654" i="4"/>
  <c r="E654" i="4" s="1"/>
  <c r="G528" i="4"/>
  <c r="E528" i="4" s="1"/>
  <c r="G1592" i="4"/>
  <c r="E1592" i="4" s="1"/>
  <c r="G630" i="4"/>
  <c r="E630" i="4" s="1"/>
  <c r="H493" i="4"/>
  <c r="H1321" i="4"/>
  <c r="G2163" i="4"/>
  <c r="E2163" i="4" s="1"/>
  <c r="G1310" i="4"/>
  <c r="E1310" i="4" s="1"/>
  <c r="G411" i="4"/>
  <c r="E411" i="4" s="1"/>
  <c r="G1304" i="4"/>
  <c r="E1304" i="4" s="1"/>
  <c r="H961" i="4"/>
  <c r="G1420" i="4"/>
  <c r="E1420" i="4" s="1"/>
  <c r="H2420" i="4"/>
  <c r="G2436" i="4"/>
  <c r="E2436" i="4" s="1"/>
  <c r="G2647" i="4"/>
  <c r="E2647" i="4" s="1"/>
  <c r="G2473" i="4"/>
  <c r="E2473" i="4" s="1"/>
  <c r="H2026" i="4"/>
  <c r="H2466" i="4"/>
  <c r="G2372" i="4"/>
  <c r="E2372" i="4" s="1"/>
  <c r="H2301" i="4"/>
  <c r="H2474" i="4"/>
  <c r="H2477" i="4"/>
  <c r="H2490" i="4"/>
  <c r="G1855" i="4"/>
  <c r="E1855" i="4" s="1"/>
  <c r="G2635" i="4"/>
  <c r="E2635" i="4" s="1"/>
  <c r="H2317" i="4"/>
  <c r="H579" i="4"/>
  <c r="H1220" i="4"/>
  <c r="H816" i="4"/>
  <c r="G405" i="4"/>
  <c r="E405" i="4" s="1"/>
  <c r="H507" i="4"/>
  <c r="H1257" i="4"/>
  <c r="H1115" i="4"/>
  <c r="G376" i="4"/>
  <c r="E376" i="4" s="1"/>
  <c r="H386" i="4"/>
  <c r="G369" i="4"/>
  <c r="E369" i="4" s="1"/>
  <c r="H295" i="4"/>
  <c r="H2384" i="4"/>
  <c r="H2537" i="4"/>
  <c r="G2183" i="4"/>
  <c r="E2183" i="4" s="1"/>
  <c r="H1524" i="4"/>
  <c r="H1869" i="4"/>
  <c r="G1624" i="4"/>
  <c r="E1624" i="4" s="1"/>
  <c r="H913" i="4"/>
  <c r="H1815" i="4"/>
  <c r="H1422" i="4"/>
  <c r="G1240" i="4"/>
  <c r="E1240" i="4" s="1"/>
  <c r="H1572" i="4"/>
  <c r="H1123" i="4"/>
  <c r="G1300" i="4"/>
  <c r="E1300" i="4" s="1"/>
  <c r="H653" i="4"/>
  <c r="H1863" i="4"/>
  <c r="H1500" i="4"/>
  <c r="H393" i="4"/>
  <c r="H2498" i="4"/>
  <c r="H2675" i="4"/>
  <c r="H2234" i="4"/>
  <c r="H2121" i="4"/>
  <c r="G2646" i="4"/>
  <c r="E2646" i="4" s="1"/>
  <c r="G2486" i="4"/>
  <c r="E2486" i="4" s="1"/>
  <c r="G2356" i="4"/>
  <c r="E2356" i="4" s="1"/>
  <c r="G2309" i="4"/>
  <c r="E2309" i="4" s="1"/>
  <c r="G1194" i="4"/>
  <c r="E1194" i="4" s="1"/>
  <c r="G2433" i="4"/>
  <c r="E2433" i="4" s="1"/>
  <c r="G2187" i="4"/>
  <c r="E2187" i="4" s="1"/>
  <c r="H2595" i="4"/>
  <c r="H2469" i="4"/>
  <c r="H2434" i="4"/>
  <c r="G2106" i="4"/>
  <c r="E2106" i="4" s="1"/>
  <c r="G1396" i="4"/>
  <c r="E1396" i="4" s="1"/>
  <c r="H1839" i="4"/>
  <c r="H1325" i="4"/>
  <c r="H2368" i="4"/>
  <c r="G1366" i="4"/>
  <c r="E1366" i="4" s="1"/>
  <c r="H1067" i="4"/>
  <c r="G1867" i="4"/>
  <c r="E1867" i="4" s="1"/>
  <c r="G789" i="4"/>
  <c r="E789" i="4" s="1"/>
  <c r="H687" i="4"/>
  <c r="G1192" i="4"/>
  <c r="E1192" i="4" s="1"/>
  <c r="G994" i="4"/>
  <c r="E994" i="4" s="1"/>
  <c r="H547" i="4"/>
  <c r="G400" i="4"/>
  <c r="E400" i="4" s="1"/>
  <c r="G1801" i="4"/>
  <c r="E1801" i="4" s="1"/>
  <c r="G1328" i="4"/>
  <c r="E1328" i="4" s="1"/>
  <c r="H1252" i="4"/>
  <c r="G504" i="4"/>
  <c r="E504" i="4" s="1"/>
  <c r="G303" i="4"/>
  <c r="E303" i="4" s="1"/>
  <c r="H539" i="4"/>
  <c r="G364" i="4"/>
  <c r="E364" i="4" s="1"/>
  <c r="H428" i="4"/>
  <c r="H531" i="4"/>
  <c r="H2556" i="4"/>
  <c r="H1881" i="4"/>
  <c r="H1872" i="4"/>
  <c r="H597" i="4"/>
  <c r="G1399" i="4"/>
  <c r="E1399" i="4" s="1"/>
  <c r="G412" i="4"/>
  <c r="E412" i="4" s="1"/>
  <c r="H822" i="4"/>
  <c r="G448" i="4"/>
  <c r="E448" i="4" s="1"/>
  <c r="H1260" i="4"/>
  <c r="H585" i="4"/>
  <c r="H1487" i="4"/>
  <c r="H1244" i="4"/>
  <c r="H1051" i="4"/>
  <c r="G1185" i="4"/>
  <c r="E1185" i="4" s="1"/>
  <c r="H605" i="4"/>
  <c r="H1397" i="4"/>
  <c r="H2500" i="4"/>
  <c r="G2557" i="4"/>
  <c r="E2557" i="4" s="1"/>
  <c r="G2332" i="4"/>
  <c r="E2332" i="4" s="1"/>
  <c r="G2344" i="4"/>
  <c r="E2344" i="4" s="1"/>
  <c r="G2159" i="4"/>
  <c r="E2159" i="4" s="1"/>
  <c r="H1845" i="4"/>
  <c r="H1534" i="4"/>
  <c r="H721" i="4"/>
  <c r="H1414" i="4"/>
  <c r="H954" i="4"/>
  <c r="H459" i="4"/>
  <c r="G1318" i="4"/>
  <c r="E1318" i="4" s="1"/>
  <c r="H1236" i="4"/>
  <c r="H617" i="4"/>
  <c r="H452" i="4"/>
  <c r="H375" i="4"/>
  <c r="G447" i="4"/>
  <c r="E447" i="4" s="1"/>
  <c r="H1857" i="4"/>
  <c r="H1821" i="4"/>
  <c r="G582" i="4"/>
  <c r="E582" i="4" s="1"/>
  <c r="H715" i="4"/>
  <c r="H374" i="4"/>
  <c r="H573" i="4"/>
  <c r="G777" i="4"/>
  <c r="E777" i="4" s="1"/>
  <c r="H434" i="4"/>
  <c r="H563" i="4"/>
  <c r="G2348" i="4"/>
  <c r="E2348" i="4" s="1"/>
  <c r="H2555" i="4"/>
  <c r="G2622" i="4"/>
  <c r="E2622" i="4" s="1"/>
  <c r="G2307" i="4"/>
  <c r="E2307" i="4" s="1"/>
  <c r="G1797" i="4"/>
  <c r="E1797" i="4" s="1"/>
  <c r="H1584" i="4"/>
  <c r="G1378" i="4"/>
  <c r="E1378" i="4" s="1"/>
  <c r="H1303" i="4"/>
  <c r="G1368" i="4"/>
  <c r="E1368" i="4" s="1"/>
  <c r="G1306" i="4"/>
  <c r="E1306" i="4" s="1"/>
  <c r="H1189" i="4"/>
  <c r="G2058" i="4"/>
  <c r="E2058" i="4" s="1"/>
  <c r="G2135" i="4"/>
  <c r="E2135" i="4" s="1"/>
  <c r="G1656" i="4"/>
  <c r="E1656" i="4" s="1"/>
  <c r="H2508" i="4"/>
  <c r="H1833" i="4"/>
  <c r="G1178" i="4"/>
  <c r="E1178" i="4" s="1"/>
  <c r="H1349" i="4"/>
  <c r="H1009" i="4"/>
  <c r="H717" i="4"/>
  <c r="H1871" i="4"/>
  <c r="H1392" i="4"/>
  <c r="H949" i="4"/>
  <c r="H446" i="4"/>
  <c r="G351" i="4"/>
  <c r="E351" i="4" s="1"/>
  <c r="H1520" i="4"/>
  <c r="H1225" i="4"/>
  <c r="H1035" i="4"/>
  <c r="G423" i="4"/>
  <c r="E423" i="4" s="1"/>
  <c r="G2437" i="4"/>
  <c r="E2437" i="4" s="1"/>
  <c r="G2694" i="4"/>
  <c r="E2694" i="4" s="1"/>
  <c r="G2671" i="4"/>
  <c r="E2671" i="4" s="1"/>
  <c r="G2408" i="4"/>
  <c r="E2408" i="4" s="1"/>
  <c r="G1688" i="4"/>
  <c r="E1688" i="4" s="1"/>
  <c r="H1416" i="4"/>
  <c r="H1263" i="4"/>
  <c r="H1204" i="4"/>
  <c r="H902" i="4"/>
  <c r="G1664" i="4"/>
  <c r="E1664" i="4" s="1"/>
  <c r="H1228" i="4"/>
  <c r="G2718" i="4"/>
  <c r="E2718" i="4" s="1"/>
  <c r="H1281" i="4"/>
  <c r="H1317" i="4"/>
  <c r="G685" i="4"/>
  <c r="E685" i="4" s="1"/>
  <c r="H1212" i="4"/>
  <c r="G710" i="4"/>
  <c r="E710" i="4" s="1"/>
  <c r="H1176" i="4"/>
  <c r="G470" i="4"/>
  <c r="E470" i="4" s="1"/>
  <c r="H1347" i="4"/>
  <c r="G1200" i="4"/>
  <c r="E1200" i="4" s="1"/>
  <c r="G841" i="4"/>
  <c r="E841" i="4" s="1"/>
  <c r="H865" i="4"/>
  <c r="G1600" i="4"/>
  <c r="E1600" i="4" s="1"/>
  <c r="G1376" i="4"/>
  <c r="E1376" i="4" s="1"/>
  <c r="H593" i="4"/>
  <c r="G1302" i="4"/>
  <c r="E1302" i="4" s="1"/>
  <c r="H1160" i="4"/>
</calcChain>
</file>

<file path=xl/sharedStrings.xml><?xml version="1.0" encoding="utf-8"?>
<sst xmlns="http://schemas.openxmlformats.org/spreadsheetml/2006/main" count="45" uniqueCount="42">
  <si>
    <r>
      <t>Artikel</t>
    </r>
    <r>
      <rPr>
        <sz val="11"/>
        <color theme="1"/>
        <rFont val="Calibri"/>
        <family val="2"/>
        <scheme val="minor"/>
      </rPr>
      <t xml:space="preserve"> | Code</t>
    </r>
  </si>
  <si>
    <r>
      <t xml:space="preserve">Bezeichnung </t>
    </r>
    <r>
      <rPr>
        <sz val="11"/>
        <color theme="1"/>
        <rFont val="Calibri"/>
        <family val="2"/>
        <scheme val="minor"/>
      </rPr>
      <t>| Description</t>
    </r>
  </si>
  <si>
    <r>
      <t xml:space="preserve">Seite </t>
    </r>
    <r>
      <rPr>
        <sz val="11"/>
        <color theme="1"/>
        <rFont val="Calibri"/>
        <family val="2"/>
        <scheme val="minor"/>
      </rPr>
      <t>| Page</t>
    </r>
  </si>
  <si>
    <t>€</t>
  </si>
  <si>
    <r>
      <rPr>
        <b/>
        <sz val="10"/>
        <color theme="1"/>
        <rFont val="Calibri"/>
        <family val="2"/>
        <scheme val="minor"/>
      </rPr>
      <t>A.L.S. GmbH</t>
    </r>
    <r>
      <rPr>
        <sz val="10"/>
        <color theme="1"/>
        <rFont val="Calibri"/>
        <family val="2"/>
        <scheme val="minor"/>
      </rPr>
      <t xml:space="preserve">
Mastorterstr. 31
D-88069 Tettnang
Tel.: +49 (0) 7542 9344 0
Fax: +49 (0) 7542 9344 30
Email: info@als.de
www.als.de</t>
    </r>
  </si>
  <si>
    <t>Preisstellung</t>
  </si>
  <si>
    <t>Ab einem Warenwert von 500 € liefern wir mit Paketdienst innerhalb Deutschlands frei Haus.</t>
  </si>
  <si>
    <t>Unter diesem Betrag berechnen wir anteilige Versandkosten pro Paket.</t>
  </si>
  <si>
    <t>Beim Versand von Europaletten (120 x 80cm) gilt die Frachtfreigrenze von 2000 €.</t>
  </si>
  <si>
    <t>Bei Bestellungen unter 2000 €, sowie der Lieferung von Langpaletten, Paletten mit Sondermaß und Bunden (&gt; 200cm) erfolgt die Abrechnung nach tatsächlichem Gewicht und Volumen.</t>
  </si>
  <si>
    <t>Bei Neukunden erfolgen die ersten drei Lieferungen generell nach Vorkasse per Überweisung.</t>
  </si>
  <si>
    <t>Bei einem Auftragswert unter 50 € berechnen wir einen Kleinstauftragszuschlag von 20 €.</t>
  </si>
  <si>
    <t>Für Sendungen ins Ausland gilt Preisstellung „ab Werk“</t>
  </si>
  <si>
    <t>Zahlungsziel</t>
  </si>
  <si>
    <t>Preisgültigkeit</t>
  </si>
  <si>
    <t xml:space="preserve">Aufgrund der derzeitigen Lage kann keine Preisgültigkeit genannt werden. Angebote haben eine Preisbindung von 30 Tage. </t>
  </si>
  <si>
    <t>For an order value below € 50, we charge a small order surcharge of € 20. For shipments abroad, the price is “ex works”</t>
  </si>
  <si>
    <t>Payment terms</t>
  </si>
  <si>
    <t>Price validity</t>
  </si>
  <si>
    <t>Due to the current situation, no price validity can be given. Offers are valid for 30 days.</t>
  </si>
  <si>
    <t>Terms</t>
  </si>
  <si>
    <t>For new customers: first three deliveries will be made after payment has been credited to our bank account</t>
  </si>
  <si>
    <t>auf Anfrage</t>
  </si>
  <si>
    <t>Innerhalb 10 Tage 2% Skonto oder innerhalb 30 Tage rein netto</t>
  </si>
  <si>
    <t>2% discount within 10 days or net within 30 days</t>
  </si>
  <si>
    <t>Preisliste | Pricelist
A.L.S. LIGHTING 2024
Gültig ab | vaild from: 01.11.2023
Alle Preise zzgl. der gültigen MwSt. | All prices plus VAT
Änderungen vorbehalten, für eventuelle Fehler übernehmen wir keine Haftung.
Subject to change without notice, we assume no liability for any error.</t>
  </si>
  <si>
    <t>HAE-OA</t>
  </si>
  <si>
    <t>HIGHWAY, Opalabdeckung aus PMMA, matt-opal</t>
  </si>
  <si>
    <r>
      <t xml:space="preserve">SUDR-50SW1D-N </t>
    </r>
    <r>
      <rPr>
        <b/>
        <sz val="12"/>
        <color theme="1"/>
        <rFont val="Calibri"/>
        <family val="2"/>
        <scheme val="minor"/>
      </rPr>
      <t>¹</t>
    </r>
  </si>
  <si>
    <r>
      <t xml:space="preserve">SUDR-50SW2D-N </t>
    </r>
    <r>
      <rPr>
        <b/>
        <sz val="12"/>
        <color theme="1"/>
        <rFont val="Calibri"/>
        <family val="2"/>
        <scheme val="minor"/>
      </rPr>
      <t>¹</t>
    </r>
  </si>
  <si>
    <r>
      <t xml:space="preserve">SUDR-50SW4D-N </t>
    </r>
    <r>
      <rPr>
        <b/>
        <sz val="12"/>
        <color theme="1"/>
        <rFont val="Calibri"/>
        <family val="2"/>
        <scheme val="minor"/>
      </rPr>
      <t>¹</t>
    </r>
  </si>
  <si>
    <r>
      <t xml:space="preserve">SUDR-92SW1D-N </t>
    </r>
    <r>
      <rPr>
        <b/>
        <sz val="12"/>
        <color theme="1"/>
        <rFont val="Calibri"/>
        <family val="2"/>
        <scheme val="minor"/>
      </rPr>
      <t>¹</t>
    </r>
  </si>
  <si>
    <r>
      <t xml:space="preserve">SUDR-92SW2D-N </t>
    </r>
    <r>
      <rPr>
        <b/>
        <sz val="12"/>
        <color theme="1"/>
        <rFont val="Calibri"/>
        <family val="2"/>
        <scheme val="minor"/>
      </rPr>
      <t>¹</t>
    </r>
  </si>
  <si>
    <r>
      <t xml:space="preserve">SUDR-92SW4D-N </t>
    </r>
    <r>
      <rPr>
        <b/>
        <sz val="12"/>
        <color theme="1"/>
        <rFont val="Calibri"/>
        <family val="2"/>
        <scheme val="minor"/>
      </rPr>
      <t>¹</t>
    </r>
  </si>
  <si>
    <r>
      <t xml:space="preserve">SUDR3-140SW1D-N </t>
    </r>
    <r>
      <rPr>
        <b/>
        <sz val="12"/>
        <color theme="1"/>
        <rFont val="Calibri"/>
        <family val="2"/>
        <scheme val="minor"/>
      </rPr>
      <t>¹</t>
    </r>
  </si>
  <si>
    <r>
      <t xml:space="preserve">SUDR3-140SW2D-N </t>
    </r>
    <r>
      <rPr>
        <b/>
        <sz val="12"/>
        <color theme="1"/>
        <rFont val="Calibri"/>
        <family val="2"/>
        <scheme val="minor"/>
      </rPr>
      <t>¹</t>
    </r>
  </si>
  <si>
    <r>
      <t xml:space="preserve">SUDR3-140SW4D-N </t>
    </r>
    <r>
      <rPr>
        <b/>
        <sz val="12"/>
        <color theme="1"/>
        <rFont val="Calibri"/>
        <family val="2"/>
        <scheme val="minor"/>
      </rPr>
      <t>¹</t>
    </r>
  </si>
  <si>
    <r>
      <t xml:space="preserve">SUDR3-92SW1D-N </t>
    </r>
    <r>
      <rPr>
        <b/>
        <sz val="12"/>
        <color theme="1"/>
        <rFont val="Calibri"/>
        <family val="2"/>
        <scheme val="minor"/>
      </rPr>
      <t>¹</t>
    </r>
  </si>
  <si>
    <r>
      <t xml:space="preserve">SUDR3-92SW2D-N </t>
    </r>
    <r>
      <rPr>
        <b/>
        <sz val="12"/>
        <color theme="1"/>
        <rFont val="Calibri"/>
        <family val="2"/>
        <scheme val="minor"/>
      </rPr>
      <t>¹</t>
    </r>
  </si>
  <si>
    <r>
      <t xml:space="preserve">SUDR3-92SW4D-N </t>
    </r>
    <r>
      <rPr>
        <b/>
        <sz val="12"/>
        <color theme="1"/>
        <rFont val="Calibri"/>
        <family val="2"/>
        <scheme val="minor"/>
      </rPr>
      <t>¹</t>
    </r>
  </si>
  <si>
    <t>¹) SUDR in 2700K (gilt auch 4000K) wird nur auf ausdrücklichen Kundenwunsch (unterschriebene Auftragsbestätigung) bestellt. Rückgabe und Storno ausgeschlossen.</t>
  </si>
  <si>
    <t>¹) SUDR in 2700K (also applies to 4000K) is only ordered at the express request of the customer (signed order confirmation). Returns and cancellations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</si>
</sst>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/>
    <xf numFmtId="44" fontId="1" fillId="0" borderId="1" xfId="1" applyFont="1" applyBorder="1" applyAlignment="1">
      <alignment horizontal="right" vertical="center"/>
    </xf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44" fontId="0" fillId="0" borderId="0" xfId="1" applyFont="1" applyBorder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44" fontId="6" fillId="0" borderId="0" xfId="1" applyFont="1" applyBorder="1"/>
    <xf numFmtId="44" fontId="6" fillId="0" borderId="0" xfId="1" applyFont="1" applyFill="1" applyBorder="1"/>
    <xf numFmtId="44" fontId="2" fillId="0" borderId="0" xfId="1" applyFont="1" applyBorder="1" applyAlignment="1">
      <alignment horizontal="right" vertical="center" wrapText="1"/>
    </xf>
    <xf numFmtId="44" fontId="0" fillId="0" borderId="0" xfId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44" fontId="8" fillId="0" borderId="0" xfId="1" applyFont="1" applyFill="1" applyBorder="1"/>
    <xf numFmtId="44" fontId="0" fillId="0" borderId="0" xfId="1" applyFont="1"/>
    <xf numFmtId="44" fontId="0" fillId="0" borderId="0" xfId="1" applyFont="1" applyBorder="1"/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6">
    <cellStyle name="Prozent 2" xfId="3"/>
    <cellStyle name="Standard" xfId="0" builtinId="0"/>
    <cellStyle name="Standard 2" xfId="4"/>
    <cellStyle name="Standard 3" xfId="2"/>
    <cellStyle name="Währung" xfId="1" builtinId="4"/>
    <cellStyle name="Währung 2" xfId="5"/>
  </cellStyles>
  <dxfs count="5">
    <dxf>
      <font>
        <color theme="4" tint="0.59996337778862885"/>
      </font>
      <fill>
        <patternFill>
          <bgColor theme="4" tint="0.59996337778862885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9" tint="0.59996337778862885"/>
      </font>
      <fill>
        <patternFill>
          <fgColor theme="9" tint="0.59996337778862885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247650</xdr:rowOff>
    </xdr:from>
    <xdr:to>
      <xdr:col>0</xdr:col>
      <xdr:colOff>1244346</xdr:colOff>
      <xdr:row>0</xdr:row>
      <xdr:rowOff>1149858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47650"/>
          <a:ext cx="1225296" cy="902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08"/>
  <sheetViews>
    <sheetView tabSelected="1" workbookViewId="0">
      <selection activeCell="D2" sqref="D2"/>
    </sheetView>
  </sheetViews>
  <sheetFormatPr baseColWidth="10" defaultRowHeight="15" x14ac:dyDescent="0.25"/>
  <cols>
    <col min="1" max="1" width="36" style="2" customWidth="1"/>
    <col min="2" max="2" width="81.5703125" style="2" customWidth="1"/>
    <col min="3" max="3" width="20.28515625" style="10" customWidth="1"/>
    <col min="4" max="4" width="16.5703125" style="1" customWidth="1"/>
    <col min="5" max="5" width="11.42578125" style="2" customWidth="1"/>
    <col min="6" max="6" width="11.42578125" style="20" customWidth="1"/>
    <col min="7" max="7" width="11.42578125" style="8" customWidth="1"/>
    <col min="8" max="8" width="11.42578125" style="13"/>
    <col min="9" max="9" width="11.42578125" style="8"/>
    <col min="10" max="10" width="11.42578125" style="2"/>
    <col min="11" max="11" width="11.42578125" style="23"/>
    <col min="12" max="16384" width="11.42578125" style="2"/>
  </cols>
  <sheetData>
    <row r="1" spans="1:11" ht="105.75" customHeight="1" x14ac:dyDescent="0.25">
      <c r="B1" s="4" t="s">
        <v>25</v>
      </c>
      <c r="C1" s="25" t="s">
        <v>4</v>
      </c>
      <c r="D1" s="26"/>
    </row>
    <row r="2" spans="1:11" ht="27.75" customHeight="1" x14ac:dyDescent="0.25">
      <c r="B2" s="3"/>
      <c r="C2" s="15"/>
      <c r="D2" s="17"/>
    </row>
    <row r="3" spans="1:11" s="7" customFormat="1" x14ac:dyDescent="0.25">
      <c r="A3" s="18" t="s">
        <v>0</v>
      </c>
      <c r="B3" s="18" t="s">
        <v>1</v>
      </c>
      <c r="C3" s="6" t="s">
        <v>3</v>
      </c>
      <c r="D3" s="19" t="s">
        <v>2</v>
      </c>
      <c r="F3" s="21"/>
      <c r="G3" s="9"/>
      <c r="H3" s="13"/>
      <c r="I3" s="9"/>
      <c r="K3" s="24"/>
    </row>
    <row r="4" spans="1:11" s="7" customFormat="1" x14ac:dyDescent="0.25">
      <c r="A4" s="2" t="str">
        <f>"19-201N"</f>
        <v>19-201N</v>
      </c>
      <c r="B4" s="2" t="str">
        <f>"3-Phasen-Hochschiene 2000mm f. Pendel- oder Seilaufhängung, verkehrsweiß"</f>
        <v>3-Phasen-Hochschiene 2000mm f. Pendel- oder Seilaufhängung, verkehrsweiß</v>
      </c>
      <c r="C4" s="10">
        <v>146</v>
      </c>
      <c r="D4" s="12">
        <v>57</v>
      </c>
      <c r="E4" s="7">
        <f t="shared" ref="E4:E67" si="0">G4</f>
        <v>1</v>
      </c>
      <c r="F4" s="22" t="str">
        <f>IF(ISERROR(VLOOKUP($A4,#REF!,3,0)),"x",VLOOKUP($A4,#REF!,3,FALSE))</f>
        <v>x</v>
      </c>
      <c r="G4" s="9">
        <f t="shared" ref="G4:G67" si="1">IF(C4&lt;F4,1,IF(C4&gt;F4,-1,0))</f>
        <v>1</v>
      </c>
      <c r="H4" s="13">
        <f>IF(F4="x",C4,F4)</f>
        <v>146</v>
      </c>
      <c r="I4" s="8"/>
      <c r="K4" s="23"/>
    </row>
    <row r="5" spans="1:11" x14ac:dyDescent="0.25">
      <c r="A5" s="2" t="str">
        <f>"19-202"</f>
        <v>19-202</v>
      </c>
      <c r="B5" s="2" t="str">
        <f>"3-Phasen-Hochschiene 2000mm f. Pendel- oder Seilaufhängung, schwarz"</f>
        <v>3-Phasen-Hochschiene 2000mm f. Pendel- oder Seilaufhängung, schwarz</v>
      </c>
      <c r="C5" s="16">
        <v>146</v>
      </c>
      <c r="D5" s="11">
        <v>57</v>
      </c>
      <c r="E5" s="7">
        <f t="shared" si="0"/>
        <v>1</v>
      </c>
      <c r="F5" s="22" t="str">
        <f>IF(ISERROR(VLOOKUP($A5,#REF!,3,0)),"x",VLOOKUP($A5,#REF!,3,FALSE))</f>
        <v>x</v>
      </c>
      <c r="G5" s="9">
        <f t="shared" si="1"/>
        <v>1</v>
      </c>
      <c r="H5" s="13">
        <f>IF(F5="x",C5,F5)</f>
        <v>146</v>
      </c>
    </row>
    <row r="6" spans="1:11" x14ac:dyDescent="0.25">
      <c r="A6" s="2" t="str">
        <f>"19-207"</f>
        <v>19-207</v>
      </c>
      <c r="B6" s="2" t="str">
        <f>"3-Phasen-Hochschiene 2000mm f. Pendel- oder Seilaufhängung, silber"</f>
        <v>3-Phasen-Hochschiene 2000mm f. Pendel- oder Seilaufhängung, silber</v>
      </c>
      <c r="C6" s="16">
        <v>151.25</v>
      </c>
      <c r="D6" s="11">
        <v>57</v>
      </c>
      <c r="E6" s="7">
        <f t="shared" si="0"/>
        <v>1</v>
      </c>
      <c r="F6" s="22" t="str">
        <f>IF(ISERROR(VLOOKUP($A6,#REF!,3,0)),"x",VLOOKUP($A6,#REF!,3,FALSE))</f>
        <v>x</v>
      </c>
      <c r="G6" s="9">
        <f t="shared" si="1"/>
        <v>1</v>
      </c>
      <c r="H6" s="13">
        <f t="shared" ref="H6:H69" si="2">IF(F6="x",C6,F6)</f>
        <v>151.25</v>
      </c>
    </row>
    <row r="7" spans="1:11" x14ac:dyDescent="0.25">
      <c r="A7" s="2" t="str">
        <f>"19-301N"</f>
        <v>19-301N</v>
      </c>
      <c r="B7" s="2" t="str">
        <f>"3-Phasen-Hochschiene 3000mm f.Pendelabhängung M13/16 verkehrsweiß"</f>
        <v>3-Phasen-Hochschiene 3000mm f.Pendelabhängung M13/16 verkehrsweiß</v>
      </c>
      <c r="C7" s="16">
        <v>216.25</v>
      </c>
      <c r="D7" s="11">
        <v>57</v>
      </c>
      <c r="E7" s="7">
        <f t="shared" si="0"/>
        <v>1</v>
      </c>
      <c r="F7" s="22" t="str">
        <f>IF(ISERROR(VLOOKUP($A7,#REF!,3,0)),"x",VLOOKUP($A7,#REF!,3,FALSE))</f>
        <v>x</v>
      </c>
      <c r="G7" s="9">
        <f t="shared" si="1"/>
        <v>1</v>
      </c>
      <c r="H7" s="13">
        <f t="shared" si="2"/>
        <v>216.25</v>
      </c>
    </row>
    <row r="8" spans="1:11" x14ac:dyDescent="0.25">
      <c r="A8" s="2" t="str">
        <f>"19-302"</f>
        <v>19-302</v>
      </c>
      <c r="B8" s="2" t="str">
        <f>"3-Phasen-Hochschiene 3000mm f.Pendelabhängung M13/16 schwarz"</f>
        <v>3-Phasen-Hochschiene 3000mm f.Pendelabhängung M13/16 schwarz</v>
      </c>
      <c r="C8" s="16">
        <v>216.25</v>
      </c>
      <c r="D8" s="11">
        <v>57</v>
      </c>
      <c r="E8" s="7">
        <f t="shared" si="0"/>
        <v>1</v>
      </c>
      <c r="F8" s="22" t="str">
        <f>IF(ISERROR(VLOOKUP($A8,#REF!,3,0)),"x",VLOOKUP($A8,#REF!,3,FALSE))</f>
        <v>x</v>
      </c>
      <c r="G8" s="9">
        <f t="shared" si="1"/>
        <v>1</v>
      </c>
      <c r="H8" s="13">
        <f t="shared" si="2"/>
        <v>216.25</v>
      </c>
    </row>
    <row r="9" spans="1:11" x14ac:dyDescent="0.25">
      <c r="A9" s="2" t="str">
        <f>"19-307"</f>
        <v>19-307</v>
      </c>
      <c r="B9" s="2" t="str">
        <f>"3-Phasen-Hochschiene 3000mm f.Pendelabhängung M13/16 alu-sil"</f>
        <v>3-Phasen-Hochschiene 3000mm f.Pendelabhängung M13/16 alu-sil</v>
      </c>
      <c r="C9" s="16">
        <v>221.5</v>
      </c>
      <c r="D9" s="11">
        <v>57</v>
      </c>
      <c r="E9" s="7">
        <f t="shared" si="0"/>
        <v>1</v>
      </c>
      <c r="F9" s="22" t="str">
        <f>IF(ISERROR(VLOOKUP($A9,#REF!,3,0)),"x",VLOOKUP($A9,#REF!,3,FALSE))</f>
        <v>x</v>
      </c>
      <c r="G9" s="9">
        <f t="shared" si="1"/>
        <v>1</v>
      </c>
      <c r="H9" s="13">
        <f t="shared" si="2"/>
        <v>221.5</v>
      </c>
    </row>
    <row r="10" spans="1:11" x14ac:dyDescent="0.25">
      <c r="A10" s="2" t="str">
        <f>"19-401N"</f>
        <v>19-401N</v>
      </c>
      <c r="B10" s="2" t="str">
        <f>"3-Phasen-Hochschiene 4000mm f. Pendelabhängung M13/16 verkehrsweiß"</f>
        <v>3-Phasen-Hochschiene 4000mm f. Pendelabhängung M13/16 verkehrsweiß</v>
      </c>
      <c r="C10" s="16">
        <v>284</v>
      </c>
      <c r="D10" s="11">
        <v>57</v>
      </c>
      <c r="E10" s="7">
        <f t="shared" si="0"/>
        <v>1</v>
      </c>
      <c r="F10" s="22" t="str">
        <f>IF(ISERROR(VLOOKUP($A10,#REF!,3,0)),"x",VLOOKUP($A10,#REF!,3,FALSE))</f>
        <v>x</v>
      </c>
      <c r="G10" s="9">
        <f t="shared" si="1"/>
        <v>1</v>
      </c>
      <c r="H10" s="13">
        <f t="shared" si="2"/>
        <v>284</v>
      </c>
    </row>
    <row r="11" spans="1:11" x14ac:dyDescent="0.25">
      <c r="A11" s="2" t="str">
        <f>"19-402"</f>
        <v>19-402</v>
      </c>
      <c r="B11" s="2" t="str">
        <f>"3-Phasen-Hochschiene 4000mm f. Pendelabhängung M13/16 schwarz"</f>
        <v>3-Phasen-Hochschiene 4000mm f. Pendelabhängung M13/16 schwarz</v>
      </c>
      <c r="C11" s="16">
        <v>284</v>
      </c>
      <c r="D11" s="11">
        <v>57</v>
      </c>
      <c r="E11" s="7">
        <f t="shared" si="0"/>
        <v>1</v>
      </c>
      <c r="F11" s="22" t="str">
        <f>IF(ISERROR(VLOOKUP($A11,#REF!,3,0)),"x",VLOOKUP($A11,#REF!,3,FALSE))</f>
        <v>x</v>
      </c>
      <c r="G11" s="9">
        <f t="shared" si="1"/>
        <v>1</v>
      </c>
      <c r="H11" s="13">
        <f t="shared" si="2"/>
        <v>284</v>
      </c>
    </row>
    <row r="12" spans="1:11" x14ac:dyDescent="0.25">
      <c r="A12" s="2" t="str">
        <f>"19-407"</f>
        <v>19-407</v>
      </c>
      <c r="B12" s="2" t="str">
        <f>"3-Phasen-Hochschiene 4000mm f. Pendabhängung M13/16 alu-silb"</f>
        <v>3-Phasen-Hochschiene 4000mm f. Pendabhängung M13/16 alu-silb</v>
      </c>
      <c r="C12" s="16">
        <v>294.5</v>
      </c>
      <c r="D12" s="11">
        <v>57</v>
      </c>
      <c r="E12" s="7">
        <f t="shared" si="0"/>
        <v>1</v>
      </c>
      <c r="F12" s="22" t="str">
        <f>IF(ISERROR(VLOOKUP($A12,#REF!,3,0)),"x",VLOOKUP($A12,#REF!,3,FALSE))</f>
        <v>x</v>
      </c>
      <c r="G12" s="9">
        <f t="shared" si="1"/>
        <v>1</v>
      </c>
      <c r="H12" s="13">
        <f t="shared" si="2"/>
        <v>294.5</v>
      </c>
    </row>
    <row r="13" spans="1:11" x14ac:dyDescent="0.25">
      <c r="A13" s="2" t="str">
        <f>"555022171N"</f>
        <v>555022171N</v>
      </c>
      <c r="B13" s="2" t="str">
        <f>"Endkappe für 3~ Hochschiene, verkehrsweiß"</f>
        <v>Endkappe für 3~ Hochschiene, verkehrsweiß</v>
      </c>
      <c r="C13" s="16">
        <v>5.25</v>
      </c>
      <c r="D13" s="11">
        <v>57</v>
      </c>
      <c r="E13" s="7">
        <f t="shared" si="0"/>
        <v>1</v>
      </c>
      <c r="F13" s="22" t="str">
        <f>IF(ISERROR(VLOOKUP($A13,#REF!,3,0)),"x",VLOOKUP($A13,#REF!,3,FALSE))</f>
        <v>x</v>
      </c>
      <c r="G13" s="9">
        <f t="shared" si="1"/>
        <v>1</v>
      </c>
      <c r="H13" s="13">
        <f t="shared" si="2"/>
        <v>5.25</v>
      </c>
    </row>
    <row r="14" spans="1:11" x14ac:dyDescent="0.25">
      <c r="A14" s="2" t="str">
        <f>"555022172"</f>
        <v>555022172</v>
      </c>
      <c r="B14" s="2" t="str">
        <f>"Endkappe für 3~ Hochschiene, schwarz"</f>
        <v>Endkappe für 3~ Hochschiene, schwarz</v>
      </c>
      <c r="C14" s="16">
        <v>5.25</v>
      </c>
      <c r="D14" s="11">
        <v>57</v>
      </c>
      <c r="E14" s="7">
        <f t="shared" si="0"/>
        <v>1</v>
      </c>
      <c r="F14" s="22" t="str">
        <f>IF(ISERROR(VLOOKUP($A14,#REF!,3,0)),"x",VLOOKUP($A14,#REF!,3,FALSE))</f>
        <v>x</v>
      </c>
      <c r="G14" s="9">
        <f t="shared" si="1"/>
        <v>1</v>
      </c>
      <c r="H14" s="13">
        <f t="shared" si="2"/>
        <v>5.25</v>
      </c>
    </row>
    <row r="15" spans="1:11" x14ac:dyDescent="0.25">
      <c r="A15" s="2" t="str">
        <f>"555022177"</f>
        <v>555022177</v>
      </c>
      <c r="B15" s="2" t="str">
        <f>"Endkappe für 3~ Hochschiene, silber"</f>
        <v>Endkappe für 3~ Hochschiene, silber</v>
      </c>
      <c r="C15" s="16">
        <v>8</v>
      </c>
      <c r="D15" s="11">
        <v>57</v>
      </c>
      <c r="E15" s="7">
        <f t="shared" si="0"/>
        <v>1</v>
      </c>
      <c r="F15" s="22" t="str">
        <f>IF(ISERROR(VLOOKUP($A15,#REF!,3,0)),"x",VLOOKUP($A15,#REF!,3,FALSE))</f>
        <v>x</v>
      </c>
      <c r="G15" s="9">
        <f t="shared" si="1"/>
        <v>1</v>
      </c>
      <c r="H15" s="13">
        <f t="shared" si="2"/>
        <v>8</v>
      </c>
    </row>
    <row r="16" spans="1:11" x14ac:dyDescent="0.25">
      <c r="A16" s="2" t="str">
        <f>"555122011N"</f>
        <v>555122011N</v>
      </c>
      <c r="B16" s="2" t="str">
        <f>"Einspeiser für 3~ Hochschiene, Schutzleiter rechts, verkehrsweiß"</f>
        <v>Einspeiser für 3~ Hochschiene, Schutzleiter rechts, verkehrsweiß</v>
      </c>
      <c r="C16" s="16">
        <v>36.5</v>
      </c>
      <c r="D16" s="11">
        <v>57</v>
      </c>
      <c r="E16" s="7">
        <f t="shared" si="0"/>
        <v>1</v>
      </c>
      <c r="F16" s="22" t="str">
        <f>IF(ISERROR(VLOOKUP($A16,#REF!,3,0)),"x",VLOOKUP($A16,#REF!,3,FALSE))</f>
        <v>x</v>
      </c>
      <c r="G16" s="9">
        <f t="shared" si="1"/>
        <v>1</v>
      </c>
      <c r="H16" s="13">
        <f t="shared" si="2"/>
        <v>36.5</v>
      </c>
    </row>
    <row r="17" spans="1:8" x14ac:dyDescent="0.25">
      <c r="A17" s="2" t="str">
        <f>"555122012"</f>
        <v>555122012</v>
      </c>
      <c r="B17" s="2" t="str">
        <f>"Einspeiser für 3~ Hochschiene, Schutzleiter rechts, schwarz"</f>
        <v>Einspeiser für 3~ Hochschiene, Schutzleiter rechts, schwarz</v>
      </c>
      <c r="C17" s="16">
        <v>36.5</v>
      </c>
      <c r="D17" s="11">
        <v>57</v>
      </c>
      <c r="E17" s="7">
        <f t="shared" si="0"/>
        <v>1</v>
      </c>
      <c r="F17" s="22" t="str">
        <f>IF(ISERROR(VLOOKUP($A17,#REF!,3,0)),"x",VLOOKUP($A17,#REF!,3,FALSE))</f>
        <v>x</v>
      </c>
      <c r="G17" s="9">
        <f t="shared" si="1"/>
        <v>1</v>
      </c>
      <c r="H17" s="13">
        <f t="shared" si="2"/>
        <v>36.5</v>
      </c>
    </row>
    <row r="18" spans="1:8" x14ac:dyDescent="0.25">
      <c r="A18" s="2" t="str">
        <f>"555122017"</f>
        <v>555122017</v>
      </c>
      <c r="B18" s="2" t="str">
        <f>"Einspeiser für 3~ Hochschiene, Schutzleiter rechts, silber"</f>
        <v>Einspeiser für 3~ Hochschiene, Schutzleiter rechts, silber</v>
      </c>
      <c r="C18" s="16">
        <v>41.75</v>
      </c>
      <c r="D18" s="11">
        <v>57</v>
      </c>
      <c r="E18" s="7">
        <f t="shared" si="0"/>
        <v>1</v>
      </c>
      <c r="F18" s="22" t="str">
        <f>IF(ISERROR(VLOOKUP($A18,#REF!,3,0)),"x",VLOOKUP($A18,#REF!,3,FALSE))</f>
        <v>x</v>
      </c>
      <c r="G18" s="9">
        <f t="shared" si="1"/>
        <v>1</v>
      </c>
      <c r="H18" s="13">
        <f t="shared" si="2"/>
        <v>41.75</v>
      </c>
    </row>
    <row r="19" spans="1:8" x14ac:dyDescent="0.25">
      <c r="A19" s="2" t="str">
        <f>"555122021N"</f>
        <v>555122021N</v>
      </c>
      <c r="B19" s="2" t="str">
        <f>"Einspeiser für 3~ Hochschiene, Schutzleiter links verkehrsweiß"</f>
        <v>Einspeiser für 3~ Hochschiene, Schutzleiter links verkehrsweiß</v>
      </c>
      <c r="C19" s="16">
        <v>36.5</v>
      </c>
      <c r="D19" s="11">
        <v>57</v>
      </c>
      <c r="E19" s="7">
        <f t="shared" si="0"/>
        <v>1</v>
      </c>
      <c r="F19" s="22" t="str">
        <f>IF(ISERROR(VLOOKUP($A19,#REF!,3,0)),"x",VLOOKUP($A19,#REF!,3,FALSE))</f>
        <v>x</v>
      </c>
      <c r="G19" s="9">
        <f t="shared" si="1"/>
        <v>1</v>
      </c>
      <c r="H19" s="13">
        <f t="shared" si="2"/>
        <v>36.5</v>
      </c>
    </row>
    <row r="20" spans="1:8" x14ac:dyDescent="0.25">
      <c r="A20" s="2" t="str">
        <f>"555122022"</f>
        <v>555122022</v>
      </c>
      <c r="B20" s="2" t="str">
        <f>"Einspeiser für 3~ Hochschiene, Schutzleiter links, schwarz"</f>
        <v>Einspeiser für 3~ Hochschiene, Schutzleiter links, schwarz</v>
      </c>
      <c r="C20" s="16">
        <v>36.5</v>
      </c>
      <c r="D20" s="11">
        <v>57</v>
      </c>
      <c r="E20" s="7">
        <f t="shared" si="0"/>
        <v>1</v>
      </c>
      <c r="F20" s="22" t="str">
        <f>IF(ISERROR(VLOOKUP($A20,#REF!,3,0)),"x",VLOOKUP($A20,#REF!,3,FALSE))</f>
        <v>x</v>
      </c>
      <c r="G20" s="9">
        <f t="shared" si="1"/>
        <v>1</v>
      </c>
      <c r="H20" s="13">
        <f t="shared" si="2"/>
        <v>36.5</v>
      </c>
    </row>
    <row r="21" spans="1:8" x14ac:dyDescent="0.25">
      <c r="A21" s="2" t="str">
        <f>"555122027"</f>
        <v>555122027</v>
      </c>
      <c r="B21" s="2" t="str">
        <f>"Einspeiser für 3~ Hochschiene, Schutzleiter links, silber"</f>
        <v>Einspeiser für 3~ Hochschiene, Schutzleiter links, silber</v>
      </c>
      <c r="C21" s="16">
        <v>41.75</v>
      </c>
      <c r="D21" s="11">
        <v>57</v>
      </c>
      <c r="E21" s="7">
        <f t="shared" si="0"/>
        <v>1</v>
      </c>
      <c r="F21" s="22" t="str">
        <f>IF(ISERROR(VLOOKUP($A21,#REF!,3,0)),"x",VLOOKUP($A21,#REF!,3,FALSE))</f>
        <v>x</v>
      </c>
      <c r="G21" s="9">
        <f t="shared" si="1"/>
        <v>1</v>
      </c>
      <c r="H21" s="13">
        <f t="shared" si="2"/>
        <v>41.75</v>
      </c>
    </row>
    <row r="22" spans="1:8" x14ac:dyDescent="0.25">
      <c r="A22" s="2" t="str">
        <f>"555122061N"</f>
        <v>555122061N</v>
      </c>
      <c r="B22" s="2" t="str">
        <f>"Elektr. Längsverbinder für 3~ Hochschiene, SL innen, verkehrsweiß"</f>
        <v>Elektr. Längsverbinder für 3~ Hochschiene, SL innen, verkehrsweiß</v>
      </c>
      <c r="C22" s="16">
        <v>34</v>
      </c>
      <c r="D22" s="11">
        <v>57</v>
      </c>
      <c r="E22" s="7">
        <f t="shared" si="0"/>
        <v>1</v>
      </c>
      <c r="F22" s="22" t="str">
        <f>IF(ISERROR(VLOOKUP($A22,#REF!,3,0)),"x",VLOOKUP($A22,#REF!,3,FALSE))</f>
        <v>x</v>
      </c>
      <c r="G22" s="9">
        <f t="shared" si="1"/>
        <v>1</v>
      </c>
      <c r="H22" s="13">
        <f t="shared" si="2"/>
        <v>34</v>
      </c>
    </row>
    <row r="23" spans="1:8" x14ac:dyDescent="0.25">
      <c r="A23" s="2" t="str">
        <f>"555122062"</f>
        <v>555122062</v>
      </c>
      <c r="B23" s="2" t="str">
        <f>"Elektr. Längsverbinder für 3~ Hochschiene, SL innen, schwarz"</f>
        <v>Elektr. Längsverbinder für 3~ Hochschiene, SL innen, schwarz</v>
      </c>
      <c r="C23" s="16">
        <v>34</v>
      </c>
      <c r="D23" s="11">
        <v>57</v>
      </c>
      <c r="E23" s="7">
        <f t="shared" si="0"/>
        <v>1</v>
      </c>
      <c r="F23" s="22" t="str">
        <f>IF(ISERROR(VLOOKUP($A23,#REF!,3,0)),"x",VLOOKUP($A23,#REF!,3,FALSE))</f>
        <v>x</v>
      </c>
      <c r="G23" s="9">
        <f t="shared" si="1"/>
        <v>1</v>
      </c>
      <c r="H23" s="13">
        <f t="shared" si="2"/>
        <v>34</v>
      </c>
    </row>
    <row r="24" spans="1:8" x14ac:dyDescent="0.25">
      <c r="A24" s="2" t="str">
        <f>"555122067"</f>
        <v>555122067</v>
      </c>
      <c r="B24" s="2" t="str">
        <f>"Elektr. Längsverbinder für 3~ Hochschiene, SL innen, silber"</f>
        <v>Elektr. Längsverbinder für 3~ Hochschiene, SL innen, silber</v>
      </c>
      <c r="C24" s="16">
        <v>36.5</v>
      </c>
      <c r="D24" s="11">
        <v>57</v>
      </c>
      <c r="E24" s="7">
        <f t="shared" si="0"/>
        <v>1</v>
      </c>
      <c r="F24" s="22" t="str">
        <f>IF(ISERROR(VLOOKUP($A24,#REF!,3,0)),"x",VLOOKUP($A24,#REF!,3,FALSE))</f>
        <v>x</v>
      </c>
      <c r="G24" s="9">
        <f t="shared" si="1"/>
        <v>1</v>
      </c>
      <c r="H24" s="13">
        <f t="shared" si="2"/>
        <v>36.5</v>
      </c>
    </row>
    <row r="25" spans="1:8" x14ac:dyDescent="0.25">
      <c r="A25" s="2" t="str">
        <f>"555122081N"</f>
        <v>555122081N</v>
      </c>
      <c r="B25" s="2" t="str">
        <f>"Längverbinder für 3~ Hochschiene, verkehrsweiß"</f>
        <v>Längverbinder für 3~ Hochschiene, verkehrsweiß</v>
      </c>
      <c r="C25" s="16">
        <v>54.75</v>
      </c>
      <c r="D25" s="11">
        <v>57</v>
      </c>
      <c r="E25" s="7">
        <f t="shared" si="0"/>
        <v>1</v>
      </c>
      <c r="F25" s="22" t="str">
        <f>IF(ISERROR(VLOOKUP($A25,#REF!,3,0)),"x",VLOOKUP($A25,#REF!,3,FALSE))</f>
        <v>x</v>
      </c>
      <c r="G25" s="9">
        <f t="shared" si="1"/>
        <v>1</v>
      </c>
      <c r="H25" s="13">
        <f t="shared" si="2"/>
        <v>54.75</v>
      </c>
    </row>
    <row r="26" spans="1:8" x14ac:dyDescent="0.25">
      <c r="A26" s="2" t="str">
        <f>"555122082"</f>
        <v>555122082</v>
      </c>
      <c r="B26" s="2" t="str">
        <f>"Längverbinder für 3~ Hochschiene, schwarz"</f>
        <v>Längverbinder für 3~ Hochschiene, schwarz</v>
      </c>
      <c r="C26" s="16">
        <v>54.75</v>
      </c>
      <c r="D26" s="11">
        <v>57</v>
      </c>
      <c r="E26" s="7">
        <f t="shared" si="0"/>
        <v>1</v>
      </c>
      <c r="F26" s="22" t="str">
        <f>IF(ISERROR(VLOOKUP($A26,#REF!,3,0)),"x",VLOOKUP($A26,#REF!,3,FALSE))</f>
        <v>x</v>
      </c>
      <c r="G26" s="9">
        <f t="shared" si="1"/>
        <v>1</v>
      </c>
      <c r="H26" s="13">
        <f t="shared" si="2"/>
        <v>54.75</v>
      </c>
    </row>
    <row r="27" spans="1:8" x14ac:dyDescent="0.25">
      <c r="A27" s="2" t="str">
        <f>"555122087"</f>
        <v>555122087</v>
      </c>
      <c r="B27" s="2" t="str">
        <f>"Längverbinder für 3~ Hochschiene, silber"</f>
        <v>Längverbinder für 3~ Hochschiene, silber</v>
      </c>
      <c r="C27" s="16">
        <v>73</v>
      </c>
      <c r="D27" s="11">
        <v>57</v>
      </c>
      <c r="E27" s="7">
        <f t="shared" si="0"/>
        <v>1</v>
      </c>
      <c r="F27" s="22" t="str">
        <f>IF(ISERROR(VLOOKUP($A27,#REF!,3,0)),"x",VLOOKUP($A27,#REF!,3,FALSE))</f>
        <v>x</v>
      </c>
      <c r="G27" s="9">
        <f t="shared" si="1"/>
        <v>1</v>
      </c>
      <c r="H27" s="13">
        <f t="shared" si="2"/>
        <v>73</v>
      </c>
    </row>
    <row r="28" spans="1:8" x14ac:dyDescent="0.25">
      <c r="A28" s="2" t="str">
        <f>"555122091N"</f>
        <v>555122091N</v>
      </c>
      <c r="B28" s="2" t="str">
        <f>"L-Verbinder für 3~ Hochschiene, Schutzleiter außen, verkehrsweiß"</f>
        <v>L-Verbinder für 3~ Hochschiene, Schutzleiter außen, verkehrsweiß</v>
      </c>
      <c r="C28" s="16">
        <v>54.75</v>
      </c>
      <c r="D28" s="11">
        <v>57</v>
      </c>
      <c r="E28" s="7">
        <f t="shared" si="0"/>
        <v>1</v>
      </c>
      <c r="F28" s="22" t="str">
        <f>IF(ISERROR(VLOOKUP($A28,#REF!,3,0)),"x",VLOOKUP($A28,#REF!,3,FALSE))</f>
        <v>x</v>
      </c>
      <c r="G28" s="9">
        <f t="shared" si="1"/>
        <v>1</v>
      </c>
      <c r="H28" s="13">
        <f t="shared" si="2"/>
        <v>54.75</v>
      </c>
    </row>
    <row r="29" spans="1:8" x14ac:dyDescent="0.25">
      <c r="A29" s="2" t="str">
        <f>"555122092"</f>
        <v>555122092</v>
      </c>
      <c r="B29" s="2" t="str">
        <f>"L-Verbinder für 3~ Hochschiene, Schutzleiter außen, schwarz"</f>
        <v>L-Verbinder für 3~ Hochschiene, Schutzleiter außen, schwarz</v>
      </c>
      <c r="C29" s="16">
        <v>54.75</v>
      </c>
      <c r="D29" s="11">
        <v>57</v>
      </c>
      <c r="E29" s="7">
        <f t="shared" si="0"/>
        <v>1</v>
      </c>
      <c r="F29" s="22" t="str">
        <f>IF(ISERROR(VLOOKUP($A29,#REF!,3,0)),"x",VLOOKUP($A29,#REF!,3,FALSE))</f>
        <v>x</v>
      </c>
      <c r="G29" s="9">
        <f t="shared" si="1"/>
        <v>1</v>
      </c>
      <c r="H29" s="13">
        <f t="shared" si="2"/>
        <v>54.75</v>
      </c>
    </row>
    <row r="30" spans="1:8" x14ac:dyDescent="0.25">
      <c r="A30" s="2" t="str">
        <f>"555122097"</f>
        <v>555122097</v>
      </c>
      <c r="B30" s="2" t="str">
        <f>"L-Verbinder für 3~ Hochschiene, Schutzleiter außen, silber"</f>
        <v>L-Verbinder für 3~ Hochschiene, Schutzleiter außen, silber</v>
      </c>
      <c r="C30" s="16">
        <v>73</v>
      </c>
      <c r="D30" s="11">
        <v>57</v>
      </c>
      <c r="E30" s="7">
        <f t="shared" si="0"/>
        <v>1</v>
      </c>
      <c r="F30" s="22" t="str">
        <f>IF(ISERROR(VLOOKUP($A30,#REF!,3,0)),"x",VLOOKUP($A30,#REF!,3,FALSE))</f>
        <v>x</v>
      </c>
      <c r="G30" s="9">
        <f t="shared" si="1"/>
        <v>1</v>
      </c>
      <c r="H30" s="13">
        <f t="shared" si="2"/>
        <v>73</v>
      </c>
    </row>
    <row r="31" spans="1:8" x14ac:dyDescent="0.25">
      <c r="A31" s="2" t="str">
        <f>"555122101N"</f>
        <v>555122101N</v>
      </c>
      <c r="B31" s="2" t="str">
        <f>"L-Verbinder für 3~ Hochschiene, Schutzleiter innen, verkehrsweiß"</f>
        <v>L-Verbinder für 3~ Hochschiene, Schutzleiter innen, verkehrsweiß</v>
      </c>
      <c r="C31" s="16">
        <v>54.75</v>
      </c>
      <c r="D31" s="11">
        <v>57</v>
      </c>
      <c r="E31" s="7">
        <f t="shared" si="0"/>
        <v>1</v>
      </c>
      <c r="F31" s="22" t="str">
        <f>IF(ISERROR(VLOOKUP($A31,#REF!,3,0)),"x",VLOOKUP($A31,#REF!,3,FALSE))</f>
        <v>x</v>
      </c>
      <c r="G31" s="9">
        <f t="shared" si="1"/>
        <v>1</v>
      </c>
      <c r="H31" s="13">
        <f t="shared" si="2"/>
        <v>54.75</v>
      </c>
    </row>
    <row r="32" spans="1:8" x14ac:dyDescent="0.25">
      <c r="A32" s="2" t="str">
        <f>"555122102"</f>
        <v>555122102</v>
      </c>
      <c r="B32" s="2" t="str">
        <f>"L-Verbinder für 3~ Hochschiene, Schutzleiter innen, schwarz"</f>
        <v>L-Verbinder für 3~ Hochschiene, Schutzleiter innen, schwarz</v>
      </c>
      <c r="C32" s="16">
        <v>54.75</v>
      </c>
      <c r="D32" s="11">
        <v>57</v>
      </c>
      <c r="E32" s="7">
        <f t="shared" si="0"/>
        <v>1</v>
      </c>
      <c r="F32" s="22" t="str">
        <f>IF(ISERROR(VLOOKUP($A32,#REF!,3,0)),"x",VLOOKUP($A32,#REF!,3,FALSE))</f>
        <v>x</v>
      </c>
      <c r="G32" s="9">
        <f t="shared" si="1"/>
        <v>1</v>
      </c>
      <c r="H32" s="13">
        <f t="shared" si="2"/>
        <v>54.75</v>
      </c>
    </row>
    <row r="33" spans="1:8" x14ac:dyDescent="0.25">
      <c r="A33" s="2" t="str">
        <f>"555122107"</f>
        <v>555122107</v>
      </c>
      <c r="B33" s="2" t="str">
        <f>"L-Verbinder für 3~ Hochschiene, Schutzleiter innen, alugrau"</f>
        <v>L-Verbinder für 3~ Hochschiene, Schutzleiter innen, alugrau</v>
      </c>
      <c r="C33" s="16">
        <v>73</v>
      </c>
      <c r="D33" s="11">
        <v>57</v>
      </c>
      <c r="E33" s="7">
        <f t="shared" si="0"/>
        <v>1</v>
      </c>
      <c r="F33" s="22" t="str">
        <f>IF(ISERROR(VLOOKUP($A33,#REF!,3,0)),"x",VLOOKUP($A33,#REF!,3,FALSE))</f>
        <v>x</v>
      </c>
      <c r="G33" s="9">
        <f t="shared" si="1"/>
        <v>1</v>
      </c>
      <c r="H33" s="13">
        <f t="shared" si="2"/>
        <v>73</v>
      </c>
    </row>
    <row r="34" spans="1:8" x14ac:dyDescent="0.25">
      <c r="A34" s="2" t="str">
        <f>"555122111N"</f>
        <v>555122111N</v>
      </c>
      <c r="B34" s="2" t="str">
        <f>"Flexible Kupplung f. 3~Aufbauschiene, verkehrsweiss"</f>
        <v>Flexible Kupplung f. 3~Aufbauschiene, verkehrsweiss</v>
      </c>
      <c r="C34" s="16">
        <v>94</v>
      </c>
      <c r="D34" s="11">
        <v>57</v>
      </c>
      <c r="E34" s="7">
        <f t="shared" si="0"/>
        <v>1</v>
      </c>
      <c r="F34" s="22" t="str">
        <f>IF(ISERROR(VLOOKUP($A34,#REF!,3,0)),"x",VLOOKUP($A34,#REF!,3,FALSE))</f>
        <v>x</v>
      </c>
      <c r="G34" s="9">
        <f t="shared" si="1"/>
        <v>1</v>
      </c>
      <c r="H34" s="13">
        <f t="shared" si="2"/>
        <v>94</v>
      </c>
    </row>
    <row r="35" spans="1:8" x14ac:dyDescent="0.25">
      <c r="A35" s="2" t="str">
        <f>"555122112"</f>
        <v>555122112</v>
      </c>
      <c r="B35" s="2" t="str">
        <f>"Flexible Kupplung f. 3~Aufbauschiene, schwarz"</f>
        <v>Flexible Kupplung f. 3~Aufbauschiene, schwarz</v>
      </c>
      <c r="C35" s="16">
        <v>94</v>
      </c>
      <c r="D35" s="11">
        <v>57</v>
      </c>
      <c r="E35" s="7">
        <f t="shared" si="0"/>
        <v>1</v>
      </c>
      <c r="F35" s="22" t="str">
        <f>IF(ISERROR(VLOOKUP($A35,#REF!,3,0)),"x",VLOOKUP($A35,#REF!,3,FALSE))</f>
        <v>x</v>
      </c>
      <c r="G35" s="9">
        <f t="shared" si="1"/>
        <v>1</v>
      </c>
      <c r="H35" s="13">
        <f t="shared" si="2"/>
        <v>94</v>
      </c>
    </row>
    <row r="36" spans="1:8" x14ac:dyDescent="0.25">
      <c r="A36" s="2" t="str">
        <f>"555122121N"</f>
        <v>555122121N</v>
      </c>
      <c r="B36" s="2" t="str">
        <f>"T-Verbinder für 3~ Hochschiene, SL innen rechts, verkehrsweiß"</f>
        <v>T-Verbinder für 3~ Hochschiene, SL innen rechts, verkehrsweiß</v>
      </c>
      <c r="C36" s="16">
        <v>94</v>
      </c>
      <c r="D36" s="11">
        <v>57</v>
      </c>
      <c r="E36" s="7">
        <f t="shared" si="0"/>
        <v>1</v>
      </c>
      <c r="F36" s="22" t="str">
        <f>IF(ISERROR(VLOOKUP($A36,#REF!,3,0)),"x",VLOOKUP($A36,#REF!,3,FALSE))</f>
        <v>x</v>
      </c>
      <c r="G36" s="9">
        <f t="shared" si="1"/>
        <v>1</v>
      </c>
      <c r="H36" s="13">
        <f t="shared" si="2"/>
        <v>94</v>
      </c>
    </row>
    <row r="37" spans="1:8" x14ac:dyDescent="0.25">
      <c r="A37" s="2" t="str">
        <f>"555122122"</f>
        <v>555122122</v>
      </c>
      <c r="B37" s="2" t="str">
        <f>"T-Verbinder für 3~ Hochschiene, SL innen rechts, schwarz"</f>
        <v>T-Verbinder für 3~ Hochschiene, SL innen rechts, schwarz</v>
      </c>
      <c r="C37" s="16">
        <v>94</v>
      </c>
      <c r="D37" s="11">
        <v>57</v>
      </c>
      <c r="E37" s="7">
        <f t="shared" si="0"/>
        <v>1</v>
      </c>
      <c r="F37" s="22" t="str">
        <f>IF(ISERROR(VLOOKUP($A37,#REF!,3,0)),"x",VLOOKUP($A37,#REF!,3,FALSE))</f>
        <v>x</v>
      </c>
      <c r="G37" s="9">
        <f t="shared" si="1"/>
        <v>1</v>
      </c>
      <c r="H37" s="13">
        <f t="shared" si="2"/>
        <v>94</v>
      </c>
    </row>
    <row r="38" spans="1:8" x14ac:dyDescent="0.25">
      <c r="A38" s="2" t="str">
        <f>"555122127"</f>
        <v>555122127</v>
      </c>
      <c r="B38" s="2" t="str">
        <f>"T-Verbinder für 3~ Hochschiene, SL innen rechts, silber"</f>
        <v>T-Verbinder für 3~ Hochschiene, SL innen rechts, silber</v>
      </c>
      <c r="C38" s="16">
        <v>151.25</v>
      </c>
      <c r="D38" s="11">
        <v>57</v>
      </c>
      <c r="E38" s="7">
        <f t="shared" si="0"/>
        <v>1</v>
      </c>
      <c r="F38" s="22" t="str">
        <f>IF(ISERROR(VLOOKUP($A38,#REF!,3,0)),"x",VLOOKUP($A38,#REF!,3,FALSE))</f>
        <v>x</v>
      </c>
      <c r="G38" s="9">
        <f t="shared" si="1"/>
        <v>1</v>
      </c>
      <c r="H38" s="13">
        <f t="shared" si="2"/>
        <v>151.25</v>
      </c>
    </row>
    <row r="39" spans="1:8" x14ac:dyDescent="0.25">
      <c r="A39" s="2" t="str">
        <f>"555122131N"</f>
        <v>555122131N</v>
      </c>
      <c r="B39" s="2" t="str">
        <f>"T-Verbinder für 3~ Hochschiene, SL innen links, verkehrsweiß"</f>
        <v>T-Verbinder für 3~ Hochschiene, SL innen links, verkehrsweiß</v>
      </c>
      <c r="C39" s="16">
        <v>94</v>
      </c>
      <c r="D39" s="11">
        <v>57</v>
      </c>
      <c r="E39" s="7">
        <f t="shared" si="0"/>
        <v>1</v>
      </c>
      <c r="F39" s="22" t="str">
        <f>IF(ISERROR(VLOOKUP($A39,#REF!,3,0)),"x",VLOOKUP($A39,#REF!,3,FALSE))</f>
        <v>x</v>
      </c>
      <c r="G39" s="9">
        <f t="shared" si="1"/>
        <v>1</v>
      </c>
      <c r="H39" s="13">
        <f t="shared" si="2"/>
        <v>94</v>
      </c>
    </row>
    <row r="40" spans="1:8" x14ac:dyDescent="0.25">
      <c r="A40" s="2" t="str">
        <f>"555122132"</f>
        <v>555122132</v>
      </c>
      <c r="B40" s="2" t="str">
        <f>"T-Verbinder für 3~ Hochschiene, SL innen links, schwarz"</f>
        <v>T-Verbinder für 3~ Hochschiene, SL innen links, schwarz</v>
      </c>
      <c r="C40" s="16">
        <v>94</v>
      </c>
      <c r="D40" s="11">
        <v>57</v>
      </c>
      <c r="E40" s="7">
        <f t="shared" si="0"/>
        <v>1</v>
      </c>
      <c r="F40" s="22" t="str">
        <f>IF(ISERROR(VLOOKUP($A40,#REF!,3,0)),"x",VLOOKUP($A40,#REF!,3,FALSE))</f>
        <v>x</v>
      </c>
      <c r="G40" s="9">
        <f t="shared" si="1"/>
        <v>1</v>
      </c>
      <c r="H40" s="13">
        <f t="shared" si="2"/>
        <v>94</v>
      </c>
    </row>
    <row r="41" spans="1:8" x14ac:dyDescent="0.25">
      <c r="A41" s="2" t="str">
        <f>"555122137"</f>
        <v>555122137</v>
      </c>
      <c r="B41" s="2" t="str">
        <f>"T-Verbinder für 3~ Hochschiene, SL innen links, silber"</f>
        <v>T-Verbinder für 3~ Hochschiene, SL innen links, silber</v>
      </c>
      <c r="C41" s="16">
        <v>151.25</v>
      </c>
      <c r="D41" s="11">
        <v>57</v>
      </c>
      <c r="E41" s="7">
        <f t="shared" si="0"/>
        <v>1</v>
      </c>
      <c r="F41" s="22" t="str">
        <f>IF(ISERROR(VLOOKUP($A41,#REF!,3,0)),"x",VLOOKUP($A41,#REF!,3,FALSE))</f>
        <v>x</v>
      </c>
      <c r="G41" s="9">
        <f t="shared" si="1"/>
        <v>1</v>
      </c>
      <c r="H41" s="13">
        <f t="shared" si="2"/>
        <v>151.25</v>
      </c>
    </row>
    <row r="42" spans="1:8" x14ac:dyDescent="0.25">
      <c r="A42" s="2" t="str">
        <f>"555122141N"</f>
        <v>555122141N</v>
      </c>
      <c r="B42" s="2" t="str">
        <f>"T-Verbinder für 3~ Hochschiene, SL außen rechts, verkehrsweiß"</f>
        <v>T-Verbinder für 3~ Hochschiene, SL außen rechts, verkehrsweiß</v>
      </c>
      <c r="C42" s="16">
        <v>94</v>
      </c>
      <c r="D42" s="11">
        <v>57</v>
      </c>
      <c r="E42" s="7">
        <f t="shared" si="0"/>
        <v>1</v>
      </c>
      <c r="F42" s="22" t="str">
        <f>IF(ISERROR(VLOOKUP($A42,#REF!,3,0)),"x",VLOOKUP($A42,#REF!,3,FALSE))</f>
        <v>x</v>
      </c>
      <c r="G42" s="9">
        <f t="shared" si="1"/>
        <v>1</v>
      </c>
      <c r="H42" s="13">
        <f t="shared" si="2"/>
        <v>94</v>
      </c>
    </row>
    <row r="43" spans="1:8" x14ac:dyDescent="0.25">
      <c r="A43" s="2" t="str">
        <f>"555122142"</f>
        <v>555122142</v>
      </c>
      <c r="B43" s="2" t="str">
        <f>"T-Verbinder für 3~ Hochschiene, SL außen rechts, schwarz"</f>
        <v>T-Verbinder für 3~ Hochschiene, SL außen rechts, schwarz</v>
      </c>
      <c r="C43" s="16">
        <v>94</v>
      </c>
      <c r="D43" s="11">
        <v>57</v>
      </c>
      <c r="E43" s="7">
        <f t="shared" si="0"/>
        <v>1</v>
      </c>
      <c r="F43" s="22" t="str">
        <f>IF(ISERROR(VLOOKUP($A43,#REF!,3,0)),"x",VLOOKUP($A43,#REF!,3,FALSE))</f>
        <v>x</v>
      </c>
      <c r="G43" s="9">
        <f t="shared" si="1"/>
        <v>1</v>
      </c>
      <c r="H43" s="13">
        <f t="shared" si="2"/>
        <v>94</v>
      </c>
    </row>
    <row r="44" spans="1:8" x14ac:dyDescent="0.25">
      <c r="A44" s="2" t="str">
        <f>"555122147"</f>
        <v>555122147</v>
      </c>
      <c r="B44" s="2" t="str">
        <f>"T-Verbinder für 3~ Hochschiene, SL außen rechts, silber"</f>
        <v>T-Verbinder für 3~ Hochschiene, SL außen rechts, silber</v>
      </c>
      <c r="C44" s="16">
        <v>151.25</v>
      </c>
      <c r="D44" s="11">
        <v>57</v>
      </c>
      <c r="E44" s="7">
        <f t="shared" si="0"/>
        <v>1</v>
      </c>
      <c r="F44" s="22" t="str">
        <f>IF(ISERROR(VLOOKUP($A44,#REF!,3,0)),"x",VLOOKUP($A44,#REF!,3,FALSE))</f>
        <v>x</v>
      </c>
      <c r="G44" s="9">
        <f t="shared" si="1"/>
        <v>1</v>
      </c>
      <c r="H44" s="13">
        <f t="shared" si="2"/>
        <v>151.25</v>
      </c>
    </row>
    <row r="45" spans="1:8" x14ac:dyDescent="0.25">
      <c r="A45" s="2" t="str">
        <f>"555122151N"</f>
        <v>555122151N</v>
      </c>
      <c r="B45" s="2" t="str">
        <f>"T-Verbinder für 3~ Hochschiene, SL außen links, verkehrsweiß"</f>
        <v>T-Verbinder für 3~ Hochschiene, SL außen links, verkehrsweiß</v>
      </c>
      <c r="C45" s="16">
        <v>94</v>
      </c>
      <c r="D45" s="11">
        <v>57</v>
      </c>
      <c r="E45" s="7">
        <f t="shared" si="0"/>
        <v>1</v>
      </c>
      <c r="F45" s="22" t="str">
        <f>IF(ISERROR(VLOOKUP($A45,#REF!,3,0)),"x",VLOOKUP($A45,#REF!,3,FALSE))</f>
        <v>x</v>
      </c>
      <c r="G45" s="9">
        <f t="shared" si="1"/>
        <v>1</v>
      </c>
      <c r="H45" s="13">
        <f t="shared" si="2"/>
        <v>94</v>
      </c>
    </row>
    <row r="46" spans="1:8" x14ac:dyDescent="0.25">
      <c r="A46" s="2" t="str">
        <f>"555122152"</f>
        <v>555122152</v>
      </c>
      <c r="B46" s="2" t="str">
        <f>"T-Verbinder für 3~ Hochschiene, SL außen links, schwarz"</f>
        <v>T-Verbinder für 3~ Hochschiene, SL außen links, schwarz</v>
      </c>
      <c r="C46" s="16">
        <v>94</v>
      </c>
      <c r="D46" s="11">
        <v>57</v>
      </c>
      <c r="E46" s="7">
        <f t="shared" si="0"/>
        <v>1</v>
      </c>
      <c r="F46" s="22" t="str">
        <f>IF(ISERROR(VLOOKUP($A46,#REF!,3,0)),"x",VLOOKUP($A46,#REF!,3,FALSE))</f>
        <v>x</v>
      </c>
      <c r="G46" s="9">
        <f t="shared" si="1"/>
        <v>1</v>
      </c>
      <c r="H46" s="13">
        <f t="shared" si="2"/>
        <v>94</v>
      </c>
    </row>
    <row r="47" spans="1:8" x14ac:dyDescent="0.25">
      <c r="A47" s="2" t="str">
        <f>"555122157"</f>
        <v>555122157</v>
      </c>
      <c r="B47" s="2" t="str">
        <f>"T-Verbinder für 3~ Hochschiene, SL außen links, silber"</f>
        <v>T-Verbinder für 3~ Hochschiene, SL außen links, silber</v>
      </c>
      <c r="C47" s="16">
        <v>151.25</v>
      </c>
      <c r="D47" s="11">
        <v>57</v>
      </c>
      <c r="E47" s="7">
        <f t="shared" si="0"/>
        <v>1</v>
      </c>
      <c r="F47" s="22" t="str">
        <f>IF(ISERROR(VLOOKUP($A47,#REF!,3,0)),"x",VLOOKUP($A47,#REF!,3,FALSE))</f>
        <v>x</v>
      </c>
      <c r="G47" s="9">
        <f t="shared" si="1"/>
        <v>1</v>
      </c>
      <c r="H47" s="13">
        <f t="shared" si="2"/>
        <v>151.25</v>
      </c>
    </row>
    <row r="48" spans="1:8" x14ac:dyDescent="0.25">
      <c r="A48" s="2" t="str">
        <f>"555122161N"</f>
        <v>555122161N</v>
      </c>
      <c r="B48" s="2" t="str">
        <f>"X-Verbinder f. 3~Hochschiene mit Einspeisemöglichkeit, verkehrsweiß"</f>
        <v>X-Verbinder f. 3~Hochschiene mit Einspeisemöglichkeit, verkehrsweiß</v>
      </c>
      <c r="C48" s="16">
        <v>114.75</v>
      </c>
      <c r="D48" s="11">
        <v>57</v>
      </c>
      <c r="E48" s="7">
        <f t="shared" si="0"/>
        <v>1</v>
      </c>
      <c r="F48" s="22" t="str">
        <f>IF(ISERROR(VLOOKUP($A48,#REF!,3,0)),"x",VLOOKUP($A48,#REF!,3,FALSE))</f>
        <v>x</v>
      </c>
      <c r="G48" s="9">
        <f t="shared" si="1"/>
        <v>1</v>
      </c>
      <c r="H48" s="13">
        <f t="shared" si="2"/>
        <v>114.75</v>
      </c>
    </row>
    <row r="49" spans="1:8" x14ac:dyDescent="0.25">
      <c r="A49" s="2" t="str">
        <f>"555122162"</f>
        <v>555122162</v>
      </c>
      <c r="B49" s="2" t="str">
        <f>"X-Verbinder f. 3~Hochschiene mit Einspeisemöglichkeit, schwarz"</f>
        <v>X-Verbinder f. 3~Hochschiene mit Einspeisemöglichkeit, schwarz</v>
      </c>
      <c r="C49" s="16">
        <v>114.75</v>
      </c>
      <c r="D49" s="11">
        <v>57</v>
      </c>
      <c r="E49" s="7">
        <f t="shared" si="0"/>
        <v>1</v>
      </c>
      <c r="F49" s="22" t="str">
        <f>IF(ISERROR(VLOOKUP($A49,#REF!,3,0)),"x",VLOOKUP($A49,#REF!,3,FALSE))</f>
        <v>x</v>
      </c>
      <c r="G49" s="9">
        <f t="shared" si="1"/>
        <v>1</v>
      </c>
      <c r="H49" s="13">
        <f t="shared" si="2"/>
        <v>114.75</v>
      </c>
    </row>
    <row r="50" spans="1:8" x14ac:dyDescent="0.25">
      <c r="A50" s="2" t="str">
        <f>"555122167"</f>
        <v>555122167</v>
      </c>
      <c r="B50" s="2" t="str">
        <f>"X-Verbinder f. 3~Hochschiene mit Einspeisemöglichkeit, silber"</f>
        <v>X-Verbinder f. 3~Hochschiene mit Einspeisemöglichkeit, silber</v>
      </c>
      <c r="C50" s="16">
        <v>156.5</v>
      </c>
      <c r="D50" s="11">
        <v>57</v>
      </c>
      <c r="E50" s="7">
        <f t="shared" si="0"/>
        <v>1</v>
      </c>
      <c r="F50" s="22" t="str">
        <f>IF(ISERROR(VLOOKUP($A50,#REF!,3,0)),"x",VLOOKUP($A50,#REF!,3,FALSE))</f>
        <v>x</v>
      </c>
      <c r="G50" s="9">
        <f t="shared" si="1"/>
        <v>1</v>
      </c>
      <c r="H50" s="13">
        <f t="shared" si="2"/>
        <v>156.5</v>
      </c>
    </row>
    <row r="51" spans="1:8" x14ac:dyDescent="0.25">
      <c r="A51" s="2" t="str">
        <f>"575-101"</f>
        <v>575-101</v>
      </c>
      <c r="B51" s="2" t="str">
        <f>"3-Phasen-Aufbauschiene ONETRACK DALI, 1m, weiß "</f>
        <v xml:space="preserve">3-Phasen-Aufbauschiene ONETRACK DALI, 1m, weiß </v>
      </c>
      <c r="C51" s="16">
        <v>47.5</v>
      </c>
      <c r="D51" s="11">
        <v>59</v>
      </c>
      <c r="E51" s="7">
        <f t="shared" si="0"/>
        <v>1</v>
      </c>
      <c r="F51" s="22" t="str">
        <f>IF(ISERROR(VLOOKUP($A51,#REF!,3,0)),"x",VLOOKUP($A51,#REF!,3,FALSE))</f>
        <v>x</v>
      </c>
      <c r="G51" s="9">
        <f t="shared" si="1"/>
        <v>1</v>
      </c>
      <c r="H51" s="13">
        <f t="shared" si="2"/>
        <v>47.5</v>
      </c>
    </row>
    <row r="52" spans="1:8" x14ac:dyDescent="0.25">
      <c r="A52" s="2" t="str">
        <f>"575-102"</f>
        <v>575-102</v>
      </c>
      <c r="B52" s="2" t="str">
        <f>"3-Phasen-Aufbauschiene ONETRACK DALI, 1m, schwarz "</f>
        <v xml:space="preserve">3-Phasen-Aufbauschiene ONETRACK DALI, 1m, schwarz </v>
      </c>
      <c r="C52" s="16">
        <v>47.5</v>
      </c>
      <c r="D52" s="11">
        <v>59</v>
      </c>
      <c r="E52" s="7">
        <f t="shared" si="0"/>
        <v>1</v>
      </c>
      <c r="F52" s="22" t="str">
        <f>IF(ISERROR(VLOOKUP($A52,#REF!,3,0)),"x",VLOOKUP($A52,#REF!,3,FALSE))</f>
        <v>x</v>
      </c>
      <c r="G52" s="9">
        <f t="shared" si="1"/>
        <v>1</v>
      </c>
      <c r="H52" s="13">
        <f t="shared" si="2"/>
        <v>47.5</v>
      </c>
    </row>
    <row r="53" spans="1:8" x14ac:dyDescent="0.25">
      <c r="A53" s="2" t="str">
        <f>"575-107"</f>
        <v>575-107</v>
      </c>
      <c r="B53" s="2" t="str">
        <f>"3-Phasen-Aufbauschiene ONETRACK DALI, 1m, silber "</f>
        <v xml:space="preserve">3-Phasen-Aufbauschiene ONETRACK DALI, 1m, silber </v>
      </c>
      <c r="C53" s="16">
        <v>47.5</v>
      </c>
      <c r="D53" s="11">
        <v>59</v>
      </c>
      <c r="E53" s="7">
        <f t="shared" si="0"/>
        <v>1</v>
      </c>
      <c r="F53" s="22" t="str">
        <f>IF(ISERROR(VLOOKUP($A53,#REF!,3,0)),"x",VLOOKUP($A53,#REF!,3,FALSE))</f>
        <v>x</v>
      </c>
      <c r="G53" s="9">
        <f t="shared" si="1"/>
        <v>1</v>
      </c>
      <c r="H53" s="13">
        <f t="shared" si="2"/>
        <v>47.5</v>
      </c>
    </row>
    <row r="54" spans="1:8" x14ac:dyDescent="0.25">
      <c r="A54" s="2" t="str">
        <f>"575-201"</f>
        <v>575-201</v>
      </c>
      <c r="B54" s="2" t="str">
        <f>"3-Phasen-Aufbauschiene ONETRACK DALI, 2m, weiß"</f>
        <v>3-Phasen-Aufbauschiene ONETRACK DALI, 2m, weiß</v>
      </c>
      <c r="C54" s="16">
        <v>82.5</v>
      </c>
      <c r="D54" s="11">
        <v>59</v>
      </c>
      <c r="E54" s="7">
        <f t="shared" si="0"/>
        <v>1</v>
      </c>
      <c r="F54" s="22" t="str">
        <f>IF(ISERROR(VLOOKUP($A54,#REF!,3,0)),"x",VLOOKUP($A54,#REF!,3,FALSE))</f>
        <v>x</v>
      </c>
      <c r="G54" s="9">
        <f t="shared" si="1"/>
        <v>1</v>
      </c>
      <c r="H54" s="13">
        <f t="shared" si="2"/>
        <v>82.5</v>
      </c>
    </row>
    <row r="55" spans="1:8" x14ac:dyDescent="0.25">
      <c r="A55" s="2" t="str">
        <f>"575-202"</f>
        <v>575-202</v>
      </c>
      <c r="B55" s="2" t="str">
        <f>"3-Phasen-Aufbauschiene ONETRACK DALI, 2m, schwarz"</f>
        <v>3-Phasen-Aufbauschiene ONETRACK DALI, 2m, schwarz</v>
      </c>
      <c r="C55" s="16">
        <v>82.5</v>
      </c>
      <c r="D55" s="11">
        <v>59</v>
      </c>
      <c r="E55" s="7">
        <f t="shared" si="0"/>
        <v>1</v>
      </c>
      <c r="F55" s="22" t="str">
        <f>IF(ISERROR(VLOOKUP($A55,#REF!,3,0)),"x",VLOOKUP($A55,#REF!,3,FALSE))</f>
        <v>x</v>
      </c>
      <c r="G55" s="9">
        <f t="shared" si="1"/>
        <v>1</v>
      </c>
      <c r="H55" s="13">
        <f t="shared" si="2"/>
        <v>82.5</v>
      </c>
    </row>
    <row r="56" spans="1:8" x14ac:dyDescent="0.25">
      <c r="A56" s="2" t="str">
        <f>"575-207"</f>
        <v>575-207</v>
      </c>
      <c r="B56" s="2" t="str">
        <f>"3-Phasen-Aufbauschiene ONETRACK DALI, 2m, silber"</f>
        <v>3-Phasen-Aufbauschiene ONETRACK DALI, 2m, silber</v>
      </c>
      <c r="C56" s="16">
        <v>82.5</v>
      </c>
      <c r="D56" s="11">
        <v>59</v>
      </c>
      <c r="E56" s="7">
        <f t="shared" si="0"/>
        <v>1</v>
      </c>
      <c r="F56" s="22" t="str">
        <f>IF(ISERROR(VLOOKUP($A56,#REF!,3,0)),"x",VLOOKUP($A56,#REF!,3,FALSE))</f>
        <v>x</v>
      </c>
      <c r="G56" s="9">
        <f t="shared" si="1"/>
        <v>1</v>
      </c>
      <c r="H56" s="13">
        <f t="shared" si="2"/>
        <v>82.5</v>
      </c>
    </row>
    <row r="57" spans="1:8" x14ac:dyDescent="0.25">
      <c r="A57" s="2" t="str">
        <f>"575-301"</f>
        <v>575-301</v>
      </c>
      <c r="B57" s="2" t="str">
        <f>"3-Phasen-Aufbauschiene ONETRACK DALI, 3m, weiß"</f>
        <v>3-Phasen-Aufbauschiene ONETRACK DALI, 3m, weiß</v>
      </c>
      <c r="C57" s="16">
        <v>120</v>
      </c>
      <c r="D57" s="11">
        <v>59</v>
      </c>
      <c r="E57" s="7">
        <f t="shared" si="0"/>
        <v>1</v>
      </c>
      <c r="F57" s="22" t="str">
        <f>IF(ISERROR(VLOOKUP($A57,#REF!,3,0)),"x",VLOOKUP($A57,#REF!,3,FALSE))</f>
        <v>x</v>
      </c>
      <c r="G57" s="9">
        <f t="shared" si="1"/>
        <v>1</v>
      </c>
      <c r="H57" s="13">
        <f t="shared" si="2"/>
        <v>120</v>
      </c>
    </row>
    <row r="58" spans="1:8" x14ac:dyDescent="0.25">
      <c r="A58" s="2" t="str">
        <f>"575-302"</f>
        <v>575-302</v>
      </c>
      <c r="B58" s="2" t="str">
        <f>"3-Phasen-Aufbauschiene ONETRACK DALI, 3m, schwarz "</f>
        <v xml:space="preserve">3-Phasen-Aufbauschiene ONETRACK DALI, 3m, schwarz </v>
      </c>
      <c r="C58" s="16">
        <v>120</v>
      </c>
      <c r="D58" s="11">
        <v>59</v>
      </c>
      <c r="E58" s="7">
        <f t="shared" si="0"/>
        <v>1</v>
      </c>
      <c r="F58" s="22" t="str">
        <f>IF(ISERROR(VLOOKUP($A58,#REF!,3,0)),"x",VLOOKUP($A58,#REF!,3,FALSE))</f>
        <v>x</v>
      </c>
      <c r="G58" s="9">
        <f t="shared" si="1"/>
        <v>1</v>
      </c>
      <c r="H58" s="13">
        <f t="shared" si="2"/>
        <v>120</v>
      </c>
    </row>
    <row r="59" spans="1:8" x14ac:dyDescent="0.25">
      <c r="A59" s="2" t="str">
        <f>"575-307"</f>
        <v>575-307</v>
      </c>
      <c r="B59" s="2" t="str">
        <f>"3-Phasen-Aufbauschiene ONETRACK DALI, 3m, silber "</f>
        <v xml:space="preserve">3-Phasen-Aufbauschiene ONETRACK DALI, 3m, silber </v>
      </c>
      <c r="C59" s="16">
        <v>120</v>
      </c>
      <c r="D59" s="11">
        <v>59</v>
      </c>
      <c r="E59" s="7">
        <f t="shared" si="0"/>
        <v>1</v>
      </c>
      <c r="F59" s="22" t="str">
        <f>IF(ISERROR(VLOOKUP($A59,#REF!,3,0)),"x",VLOOKUP($A59,#REF!,3,FALSE))</f>
        <v>x</v>
      </c>
      <c r="G59" s="9">
        <f t="shared" si="1"/>
        <v>1</v>
      </c>
      <c r="H59" s="13">
        <f t="shared" si="2"/>
        <v>120</v>
      </c>
    </row>
    <row r="60" spans="1:8" x14ac:dyDescent="0.25">
      <c r="A60" s="2" t="str">
        <f>"575-3101"</f>
        <v>575-3101</v>
      </c>
      <c r="B60" s="2" t="str">
        <f>"3-Phasen-Einbauschiene ONETRACK DALI, 1m, weiß"</f>
        <v>3-Phasen-Einbauschiene ONETRACK DALI, 1m, weiß</v>
      </c>
      <c r="C60" s="16">
        <v>80</v>
      </c>
      <c r="D60" s="11">
        <v>65</v>
      </c>
      <c r="E60" s="7">
        <f t="shared" si="0"/>
        <v>1</v>
      </c>
      <c r="F60" s="22" t="str">
        <f>IF(ISERROR(VLOOKUP($A60,#REF!,3,0)),"x",VLOOKUP($A60,#REF!,3,FALSE))</f>
        <v>x</v>
      </c>
      <c r="G60" s="9">
        <f t="shared" si="1"/>
        <v>1</v>
      </c>
      <c r="H60" s="13">
        <f t="shared" si="2"/>
        <v>80</v>
      </c>
    </row>
    <row r="61" spans="1:8" x14ac:dyDescent="0.25">
      <c r="A61" s="2" t="str">
        <f>"575-3102"</f>
        <v>575-3102</v>
      </c>
      <c r="B61" s="2" t="str">
        <f>"3-Phasen-Einbauschiene ONETRACK DALI, 1m, schwarz "</f>
        <v xml:space="preserve">3-Phasen-Einbauschiene ONETRACK DALI, 1m, schwarz </v>
      </c>
      <c r="C61" s="16">
        <v>80</v>
      </c>
      <c r="D61" s="11">
        <v>65</v>
      </c>
      <c r="E61" s="7">
        <f t="shared" si="0"/>
        <v>1</v>
      </c>
      <c r="F61" s="22" t="str">
        <f>IF(ISERROR(VLOOKUP($A61,#REF!,3,0)),"x",VLOOKUP($A61,#REF!,3,FALSE))</f>
        <v>x</v>
      </c>
      <c r="G61" s="9">
        <f t="shared" si="1"/>
        <v>1</v>
      </c>
      <c r="H61" s="13">
        <f t="shared" si="2"/>
        <v>80</v>
      </c>
    </row>
    <row r="62" spans="1:8" x14ac:dyDescent="0.25">
      <c r="A62" s="2" t="str">
        <f>"575-3201"</f>
        <v>575-3201</v>
      </c>
      <c r="B62" s="2" t="str">
        <f>"3-Phasen-Einbauschiene ONETRACK DALI, 2m, weiß"</f>
        <v>3-Phasen-Einbauschiene ONETRACK DALI, 2m, weiß</v>
      </c>
      <c r="C62" s="16">
        <v>142.5</v>
      </c>
      <c r="D62" s="11">
        <v>65</v>
      </c>
      <c r="E62" s="7">
        <f t="shared" si="0"/>
        <v>1</v>
      </c>
      <c r="F62" s="22" t="str">
        <f>IF(ISERROR(VLOOKUP($A62,#REF!,3,0)),"x",VLOOKUP($A62,#REF!,3,FALSE))</f>
        <v>x</v>
      </c>
      <c r="G62" s="9">
        <f t="shared" si="1"/>
        <v>1</v>
      </c>
      <c r="H62" s="13">
        <f t="shared" si="2"/>
        <v>142.5</v>
      </c>
    </row>
    <row r="63" spans="1:8" x14ac:dyDescent="0.25">
      <c r="A63" s="2" t="str">
        <f>"575-3202"</f>
        <v>575-3202</v>
      </c>
      <c r="B63" s="2" t="str">
        <f>"3-Phasen-Einbauschiene ONETRACK DALI, 2m, schwarz "</f>
        <v xml:space="preserve">3-Phasen-Einbauschiene ONETRACK DALI, 2m, schwarz </v>
      </c>
      <c r="C63" s="16">
        <v>142.5</v>
      </c>
      <c r="D63" s="11">
        <v>65</v>
      </c>
      <c r="E63" s="7">
        <f t="shared" si="0"/>
        <v>1</v>
      </c>
      <c r="F63" s="22" t="str">
        <f>IF(ISERROR(VLOOKUP($A63,#REF!,3,0)),"x",VLOOKUP($A63,#REF!,3,FALSE))</f>
        <v>x</v>
      </c>
      <c r="G63" s="9">
        <f t="shared" si="1"/>
        <v>1</v>
      </c>
      <c r="H63" s="13">
        <f t="shared" si="2"/>
        <v>142.5</v>
      </c>
    </row>
    <row r="64" spans="1:8" x14ac:dyDescent="0.25">
      <c r="A64" s="2" t="str">
        <f>"575-3301"</f>
        <v>575-3301</v>
      </c>
      <c r="B64" s="2" t="str">
        <f>"3-Phasen-Einbauschiene ONETRACK DALI, 3m, weiß"</f>
        <v>3-Phasen-Einbauschiene ONETRACK DALI, 3m, weiß</v>
      </c>
      <c r="C64" s="16">
        <v>200</v>
      </c>
      <c r="D64" s="11">
        <v>65</v>
      </c>
      <c r="E64" s="7">
        <f t="shared" si="0"/>
        <v>1</v>
      </c>
      <c r="F64" s="22" t="str">
        <f>IF(ISERROR(VLOOKUP($A64,#REF!,3,0)),"x",VLOOKUP($A64,#REF!,3,FALSE))</f>
        <v>x</v>
      </c>
      <c r="G64" s="9">
        <f t="shared" si="1"/>
        <v>1</v>
      </c>
      <c r="H64" s="13">
        <f t="shared" si="2"/>
        <v>200</v>
      </c>
    </row>
    <row r="65" spans="1:8" x14ac:dyDescent="0.25">
      <c r="A65" s="2" t="str">
        <f>"575-3302"</f>
        <v>575-3302</v>
      </c>
      <c r="B65" s="2" t="str">
        <f>"3-Phasen-Einbauschiene ONETRACK DALI, 3m, schwarz "</f>
        <v xml:space="preserve">3-Phasen-Einbauschiene ONETRACK DALI, 3m, schwarz </v>
      </c>
      <c r="C65" s="16">
        <v>200</v>
      </c>
      <c r="D65" s="11">
        <v>65</v>
      </c>
      <c r="E65" s="7">
        <f t="shared" si="0"/>
        <v>1</v>
      </c>
      <c r="F65" s="22" t="str">
        <f>IF(ISERROR(VLOOKUP($A65,#REF!,3,0)),"x",VLOOKUP($A65,#REF!,3,FALSE))</f>
        <v>x</v>
      </c>
      <c r="G65" s="9">
        <f t="shared" si="1"/>
        <v>1</v>
      </c>
      <c r="H65" s="13">
        <f t="shared" si="2"/>
        <v>200</v>
      </c>
    </row>
    <row r="66" spans="1:8" x14ac:dyDescent="0.25">
      <c r="A66" s="2" t="str">
        <f>"575-3401"</f>
        <v>575-3401</v>
      </c>
      <c r="B66" s="2" t="str">
        <f>"3-Phasen-Einbauschiene ONETRACK DALI, 4m, weiß"</f>
        <v>3-Phasen-Einbauschiene ONETRACK DALI, 4m, weiß</v>
      </c>
      <c r="C66" s="16">
        <v>270</v>
      </c>
      <c r="D66" s="11">
        <v>65</v>
      </c>
      <c r="E66" s="7">
        <f t="shared" si="0"/>
        <v>1</v>
      </c>
      <c r="F66" s="22" t="str">
        <f>IF(ISERROR(VLOOKUP($A66,#REF!,3,0)),"x",VLOOKUP($A66,#REF!,3,FALSE))</f>
        <v>x</v>
      </c>
      <c r="G66" s="9">
        <f t="shared" si="1"/>
        <v>1</v>
      </c>
      <c r="H66" s="13">
        <f t="shared" si="2"/>
        <v>270</v>
      </c>
    </row>
    <row r="67" spans="1:8" x14ac:dyDescent="0.25">
      <c r="A67" s="2" t="str">
        <f>"575-3402"</f>
        <v>575-3402</v>
      </c>
      <c r="B67" s="2" t="str">
        <f>"3-Phasen-Einbauschiene ONETRACK DALI, 4m, schwarz "</f>
        <v xml:space="preserve">3-Phasen-Einbauschiene ONETRACK DALI, 4m, schwarz </v>
      </c>
      <c r="C67" s="16">
        <v>270</v>
      </c>
      <c r="D67" s="11">
        <v>65</v>
      </c>
      <c r="E67" s="7">
        <f t="shared" si="0"/>
        <v>1</v>
      </c>
      <c r="F67" s="22" t="str">
        <f>IF(ISERROR(VLOOKUP($A67,#REF!,3,0)),"x",VLOOKUP($A67,#REF!,3,FALSE))</f>
        <v>x</v>
      </c>
      <c r="G67" s="9">
        <f t="shared" si="1"/>
        <v>1</v>
      </c>
      <c r="H67" s="13">
        <f t="shared" si="2"/>
        <v>270</v>
      </c>
    </row>
    <row r="68" spans="1:8" x14ac:dyDescent="0.25">
      <c r="A68" s="2" t="str">
        <f>"575-401"</f>
        <v>575-401</v>
      </c>
      <c r="B68" s="2" t="str">
        <f>"3-Phasen-Aufbauschiene ONETRACK DALI, 4m, weiß"</f>
        <v>3-Phasen-Aufbauschiene ONETRACK DALI, 4m, weiß</v>
      </c>
      <c r="C68" s="16">
        <v>157.5</v>
      </c>
      <c r="D68" s="11">
        <v>59</v>
      </c>
      <c r="E68" s="7">
        <f t="shared" ref="E68:E131" si="3">G68</f>
        <v>1</v>
      </c>
      <c r="F68" s="22" t="str">
        <f>IF(ISERROR(VLOOKUP($A68,#REF!,3,0)),"x",VLOOKUP($A68,#REF!,3,FALSE))</f>
        <v>x</v>
      </c>
      <c r="G68" s="9">
        <f t="shared" ref="G68:G131" si="4">IF(C68&lt;F68,1,IF(C68&gt;F68,-1,0))</f>
        <v>1</v>
      </c>
      <c r="H68" s="13">
        <f t="shared" si="2"/>
        <v>157.5</v>
      </c>
    </row>
    <row r="69" spans="1:8" x14ac:dyDescent="0.25">
      <c r="A69" s="2" t="str">
        <f>"575-402"</f>
        <v>575-402</v>
      </c>
      <c r="B69" s="2" t="str">
        <f>"3-Phasen-Aufbauschiene ONETRACK DALI, 4m, schwarz "</f>
        <v xml:space="preserve">3-Phasen-Aufbauschiene ONETRACK DALI, 4m, schwarz </v>
      </c>
      <c r="C69" s="16">
        <v>157.5</v>
      </c>
      <c r="D69" s="11">
        <v>59</v>
      </c>
      <c r="E69" s="7">
        <f t="shared" si="3"/>
        <v>1</v>
      </c>
      <c r="F69" s="22" t="str">
        <f>IF(ISERROR(VLOOKUP($A69,#REF!,3,0)),"x",VLOOKUP($A69,#REF!,3,FALSE))</f>
        <v>x</v>
      </c>
      <c r="G69" s="9">
        <f t="shared" si="4"/>
        <v>1</v>
      </c>
      <c r="H69" s="13">
        <f t="shared" si="2"/>
        <v>157.5</v>
      </c>
    </row>
    <row r="70" spans="1:8" x14ac:dyDescent="0.25">
      <c r="A70" s="2" t="str">
        <f>"575-407"</f>
        <v>575-407</v>
      </c>
      <c r="B70" s="2" t="str">
        <f>"3-Phasen-Aufbauschiene ONETRACK DALI, 4m, silber "</f>
        <v xml:space="preserve">3-Phasen-Aufbauschiene ONETRACK DALI, 4m, silber </v>
      </c>
      <c r="C70" s="16">
        <v>157.5</v>
      </c>
      <c r="D70" s="11">
        <v>59</v>
      </c>
      <c r="E70" s="7">
        <f t="shared" si="3"/>
        <v>1</v>
      </c>
      <c r="F70" s="22" t="str">
        <f>IF(ISERROR(VLOOKUP($A70,#REF!,3,0)),"x",VLOOKUP($A70,#REF!,3,FALSE))</f>
        <v>x</v>
      </c>
      <c r="G70" s="9">
        <f t="shared" si="4"/>
        <v>1</v>
      </c>
      <c r="H70" s="13">
        <f t="shared" ref="H70:H133" si="5">IF(F70="x",C70,F70)</f>
        <v>157.5</v>
      </c>
    </row>
    <row r="71" spans="1:8" x14ac:dyDescent="0.25">
      <c r="A71" s="2" t="str">
        <f>"575006010"</f>
        <v>575006010</v>
      </c>
      <c r="B71" s="2" t="str">
        <f>"Montagenippel M10, für In-Track Adapter ONETRACK "</f>
        <v xml:space="preserve">Montagenippel M10, für In-Track Adapter ONETRACK </v>
      </c>
      <c r="C71" s="16">
        <v>7.5</v>
      </c>
      <c r="D71" s="11">
        <v>60</v>
      </c>
      <c r="E71" s="7">
        <f t="shared" si="3"/>
        <v>1</v>
      </c>
      <c r="F71" s="22" t="str">
        <f>IF(ISERROR(VLOOKUP($A71,#REF!,3,0)),"x",VLOOKUP($A71,#REF!,3,FALSE))</f>
        <v>x</v>
      </c>
      <c r="G71" s="9">
        <f t="shared" si="4"/>
        <v>1</v>
      </c>
      <c r="H71" s="13">
        <f t="shared" si="5"/>
        <v>7.5</v>
      </c>
    </row>
    <row r="72" spans="1:8" x14ac:dyDescent="0.25">
      <c r="A72" s="2" t="str">
        <f>"575006020"</f>
        <v>575006020</v>
      </c>
      <c r="B72" s="2" t="str">
        <f>"Montagenippel M13, für In-Track Adapter ONETRACK "</f>
        <v xml:space="preserve">Montagenippel M13, für In-Track Adapter ONETRACK </v>
      </c>
      <c r="C72" s="16">
        <v>7.5</v>
      </c>
      <c r="D72" s="11">
        <v>60</v>
      </c>
      <c r="E72" s="7">
        <f t="shared" si="3"/>
        <v>1</v>
      </c>
      <c r="F72" s="22" t="str">
        <f>IF(ISERROR(VLOOKUP($A72,#REF!,3,0)),"x",VLOOKUP($A72,#REF!,3,FALSE))</f>
        <v>x</v>
      </c>
      <c r="G72" s="9">
        <f t="shared" si="4"/>
        <v>1</v>
      </c>
      <c r="H72" s="13">
        <f t="shared" si="5"/>
        <v>7.5</v>
      </c>
    </row>
    <row r="73" spans="1:8" x14ac:dyDescent="0.25">
      <c r="A73" s="2" t="str">
        <f>"575012171"</f>
        <v>575012171</v>
      </c>
      <c r="B73" s="2" t="str">
        <f>"Endkappe für 3~ Aufbauschiene ONETRACK, weiß"</f>
        <v>Endkappe für 3~ Aufbauschiene ONETRACK, weiß</v>
      </c>
      <c r="C73" s="16">
        <v>2.5</v>
      </c>
      <c r="D73" s="11">
        <v>59</v>
      </c>
      <c r="E73" s="7">
        <f t="shared" si="3"/>
        <v>1</v>
      </c>
      <c r="F73" s="22" t="str">
        <f>IF(ISERROR(VLOOKUP($A73,#REF!,3,0)),"x",VLOOKUP($A73,#REF!,3,FALSE))</f>
        <v>x</v>
      </c>
      <c r="G73" s="9">
        <f t="shared" si="4"/>
        <v>1</v>
      </c>
      <c r="H73" s="13">
        <f t="shared" si="5"/>
        <v>2.5</v>
      </c>
    </row>
    <row r="74" spans="1:8" x14ac:dyDescent="0.25">
      <c r="A74" s="2" t="str">
        <f>"575012172"</f>
        <v>575012172</v>
      </c>
      <c r="B74" s="2" t="str">
        <f>"Endkappe für 3~ Aufbauschiene ONETRACK, schwarz"</f>
        <v>Endkappe für 3~ Aufbauschiene ONETRACK, schwarz</v>
      </c>
      <c r="C74" s="16">
        <v>2.5</v>
      </c>
      <c r="D74" s="11">
        <v>59</v>
      </c>
      <c r="E74" s="7">
        <f t="shared" si="3"/>
        <v>1</v>
      </c>
      <c r="F74" s="22" t="str">
        <f>IF(ISERROR(VLOOKUP($A74,#REF!,3,0)),"x",VLOOKUP($A74,#REF!,3,FALSE))</f>
        <v>x</v>
      </c>
      <c r="G74" s="9">
        <f t="shared" si="4"/>
        <v>1</v>
      </c>
      <c r="H74" s="13">
        <f t="shared" si="5"/>
        <v>2.5</v>
      </c>
    </row>
    <row r="75" spans="1:8" x14ac:dyDescent="0.25">
      <c r="A75" s="2" t="str">
        <f>"575012178"</f>
        <v>575012178</v>
      </c>
      <c r="B75" s="2" t="str">
        <f>"Endkappe für 3~ Aufbauschiene ONETRACK, grau"</f>
        <v>Endkappe für 3~ Aufbauschiene ONETRACK, grau</v>
      </c>
      <c r="C75" s="16">
        <v>2.5</v>
      </c>
      <c r="D75" s="11">
        <v>59</v>
      </c>
      <c r="E75" s="7">
        <f t="shared" si="3"/>
        <v>1</v>
      </c>
      <c r="F75" s="22" t="str">
        <f>IF(ISERROR(VLOOKUP($A75,#REF!,3,0)),"x",VLOOKUP($A75,#REF!,3,FALSE))</f>
        <v>x</v>
      </c>
      <c r="G75" s="9">
        <f t="shared" si="4"/>
        <v>1</v>
      </c>
      <c r="H75" s="13">
        <f t="shared" si="5"/>
        <v>2.5</v>
      </c>
    </row>
    <row r="76" spans="1:8" x14ac:dyDescent="0.25">
      <c r="A76" s="2" t="str">
        <f>"575014010"</f>
        <v>575014010</v>
      </c>
      <c r="B76" s="2" t="str">
        <f>"Pendelclip ONETRACK, 40mm, f. Abhängung durch Seil-od. Pendelaufhängung"</f>
        <v>Pendelclip ONETRACK, 40mm, f. Abhängung durch Seil-od. Pendelaufhängung</v>
      </c>
      <c r="C76" s="16">
        <v>5</v>
      </c>
      <c r="D76" s="11">
        <v>61</v>
      </c>
      <c r="E76" s="7">
        <f t="shared" si="3"/>
        <v>1</v>
      </c>
      <c r="F76" s="22" t="str">
        <f>IF(ISERROR(VLOOKUP($A76,#REF!,3,0)),"x",VLOOKUP($A76,#REF!,3,FALSE))</f>
        <v>x</v>
      </c>
      <c r="G76" s="9">
        <f t="shared" si="4"/>
        <v>1</v>
      </c>
      <c r="H76" s="13">
        <f t="shared" si="5"/>
        <v>5</v>
      </c>
    </row>
    <row r="77" spans="1:8" x14ac:dyDescent="0.25">
      <c r="A77" s="2" t="str">
        <f>"575014021"</f>
        <v>575014021</v>
      </c>
      <c r="B77" s="2" t="str">
        <f>"Pendelclip ONETRACK 35mm, f. Abhängung durch Seil-od. Pendelaufhängung, weiß"</f>
        <v>Pendelclip ONETRACK 35mm, f. Abhängung durch Seil-od. Pendelaufhängung, weiß</v>
      </c>
      <c r="C77" s="16">
        <v>10</v>
      </c>
      <c r="D77" s="11">
        <v>61</v>
      </c>
      <c r="E77" s="7">
        <f t="shared" si="3"/>
        <v>1</v>
      </c>
      <c r="F77" s="22" t="str">
        <f>IF(ISERROR(VLOOKUP($A77,#REF!,3,0)),"x",VLOOKUP($A77,#REF!,3,FALSE))</f>
        <v>x</v>
      </c>
      <c r="G77" s="9">
        <f t="shared" si="4"/>
        <v>1</v>
      </c>
      <c r="H77" s="13">
        <f t="shared" si="5"/>
        <v>10</v>
      </c>
    </row>
    <row r="78" spans="1:8" x14ac:dyDescent="0.25">
      <c r="A78" s="2" t="str">
        <f>"575014022"</f>
        <v>575014022</v>
      </c>
      <c r="B78" s="2" t="str">
        <f>"Pendelclip ONETRACK 35mm, f. Abhängung durch Seil-od. Pendelaufhängung, schwarz"</f>
        <v>Pendelclip ONETRACK 35mm, f. Abhängung durch Seil-od. Pendelaufhängung, schwarz</v>
      </c>
      <c r="C78" s="16">
        <v>10</v>
      </c>
      <c r="D78" s="11">
        <v>61</v>
      </c>
      <c r="E78" s="7">
        <f t="shared" si="3"/>
        <v>1</v>
      </c>
      <c r="F78" s="22" t="str">
        <f>IF(ISERROR(VLOOKUP($A78,#REF!,3,0)),"x",VLOOKUP($A78,#REF!,3,FALSE))</f>
        <v>x</v>
      </c>
      <c r="G78" s="9">
        <f t="shared" si="4"/>
        <v>1</v>
      </c>
      <c r="H78" s="13">
        <f t="shared" si="5"/>
        <v>10</v>
      </c>
    </row>
    <row r="79" spans="1:8" x14ac:dyDescent="0.25">
      <c r="A79" s="2" t="str">
        <f>"575014031"</f>
        <v>575014031</v>
      </c>
      <c r="B79" s="2" t="str">
        <f>"Stoßstellenverbinder ONETRACK 100mm für Seil- u. Pendelabhängung 13mm Ø, weiß"</f>
        <v>Stoßstellenverbinder ONETRACK 100mm für Seil- u. Pendelabhängung 13mm Ø, weiß</v>
      </c>
      <c r="C79" s="16">
        <v>15</v>
      </c>
      <c r="D79" s="11">
        <v>61</v>
      </c>
      <c r="E79" s="7">
        <f t="shared" si="3"/>
        <v>1</v>
      </c>
      <c r="F79" s="22" t="str">
        <f>IF(ISERROR(VLOOKUP($A79,#REF!,3,0)),"x",VLOOKUP($A79,#REF!,3,FALSE))</f>
        <v>x</v>
      </c>
      <c r="G79" s="9">
        <f t="shared" si="4"/>
        <v>1</v>
      </c>
      <c r="H79" s="13">
        <f t="shared" si="5"/>
        <v>15</v>
      </c>
    </row>
    <row r="80" spans="1:8" x14ac:dyDescent="0.25">
      <c r="A80" s="2" t="str">
        <f>"575014032"</f>
        <v>575014032</v>
      </c>
      <c r="B80" s="2" t="str">
        <f>"Stoßstellenverbinder ONETRACK 100mm,für Seil- u. Pendelabhängung für 13mm Ø, sch"</f>
        <v>Stoßstellenverbinder ONETRACK 100mm,für Seil- u. Pendelabhängung für 13mm Ø, sch</v>
      </c>
      <c r="C80" s="16">
        <v>15</v>
      </c>
      <c r="D80" s="11">
        <v>61</v>
      </c>
      <c r="E80" s="7">
        <f t="shared" si="3"/>
        <v>1</v>
      </c>
      <c r="F80" s="22" t="str">
        <f>IF(ISERROR(VLOOKUP($A80,#REF!,3,0)),"x",VLOOKUP($A80,#REF!,3,FALSE))</f>
        <v>x</v>
      </c>
      <c r="G80" s="9">
        <f t="shared" si="4"/>
        <v>1</v>
      </c>
      <c r="H80" s="13">
        <f t="shared" si="5"/>
        <v>15</v>
      </c>
    </row>
    <row r="81" spans="1:8" x14ac:dyDescent="0.25">
      <c r="A81" s="2" t="str">
        <f>"575014040"</f>
        <v>575014040</v>
      </c>
      <c r="B81" s="2" t="str">
        <f>"Pendelclip, Deckenclip ONETRACK 40mm, f. Seil-od. Pendelaufhäng., alu"</f>
        <v>Pendelclip, Deckenclip ONETRACK 40mm, f. Seil-od. Pendelaufhäng., alu</v>
      </c>
      <c r="C81" s="16">
        <v>12.5</v>
      </c>
      <c r="D81" s="11">
        <v>61</v>
      </c>
      <c r="E81" s="7">
        <f t="shared" si="3"/>
        <v>1</v>
      </c>
      <c r="F81" s="22" t="str">
        <f>IF(ISERROR(VLOOKUP($A81,#REF!,3,0)),"x",VLOOKUP($A81,#REF!,3,FALSE))</f>
        <v>x</v>
      </c>
      <c r="G81" s="9">
        <f t="shared" si="4"/>
        <v>1</v>
      </c>
      <c r="H81" s="13">
        <f t="shared" si="5"/>
        <v>12.5</v>
      </c>
    </row>
    <row r="82" spans="1:8" x14ac:dyDescent="0.25">
      <c r="A82" s="2" t="str">
        <f>"575014041"</f>
        <v>575014041</v>
      </c>
      <c r="B82" s="2" t="str">
        <f>"Pendelclip, Deckenclip ONETRACK 40mm, f. Seil-od. Pendelaufhäng., weiß"</f>
        <v>Pendelclip, Deckenclip ONETRACK 40mm, f. Seil-od. Pendelaufhäng., weiß</v>
      </c>
      <c r="C82" s="16">
        <v>15</v>
      </c>
      <c r="D82" s="11">
        <v>61</v>
      </c>
      <c r="E82" s="7">
        <f t="shared" si="3"/>
        <v>1</v>
      </c>
      <c r="F82" s="22" t="str">
        <f>IF(ISERROR(VLOOKUP($A82,#REF!,3,0)),"x",VLOOKUP($A82,#REF!,3,FALSE))</f>
        <v>x</v>
      </c>
      <c r="G82" s="9">
        <f t="shared" si="4"/>
        <v>1</v>
      </c>
      <c r="H82" s="13">
        <f t="shared" si="5"/>
        <v>15</v>
      </c>
    </row>
    <row r="83" spans="1:8" x14ac:dyDescent="0.25">
      <c r="A83" s="2" t="str">
        <f>"575014042"</f>
        <v>575014042</v>
      </c>
      <c r="B83" s="2" t="str">
        <f>"Pendelclip, Deckenclip ONETRACK 40mm, f. Seil-od. Pendelaufhäng., schwarz"</f>
        <v>Pendelclip, Deckenclip ONETRACK 40mm, f. Seil-od. Pendelaufhäng., schwarz</v>
      </c>
      <c r="C83" s="16">
        <v>10</v>
      </c>
      <c r="D83" s="11">
        <v>61</v>
      </c>
      <c r="E83" s="7">
        <f t="shared" si="3"/>
        <v>1</v>
      </c>
      <c r="F83" s="22" t="str">
        <f>IF(ISERROR(VLOOKUP($A83,#REF!,3,0)),"x",VLOOKUP($A83,#REF!,3,FALSE))</f>
        <v>x</v>
      </c>
      <c r="G83" s="9">
        <f t="shared" si="4"/>
        <v>1</v>
      </c>
      <c r="H83" s="13">
        <f t="shared" si="5"/>
        <v>10</v>
      </c>
    </row>
    <row r="84" spans="1:8" x14ac:dyDescent="0.25">
      <c r="A84" s="2" t="str">
        <f>"575014050"</f>
        <v>575014050</v>
      </c>
      <c r="B84" s="2" t="str">
        <f>"Halteclip ONETRACK 25mm, für Haken / Schlaufen, Aluminium"</f>
        <v>Halteclip ONETRACK 25mm, für Haken / Schlaufen, Aluminium</v>
      </c>
      <c r="C84" s="16">
        <v>7.5</v>
      </c>
      <c r="D84" s="11">
        <v>61</v>
      </c>
      <c r="E84" s="7">
        <f t="shared" si="3"/>
        <v>1</v>
      </c>
      <c r="F84" s="22" t="str">
        <f>IF(ISERROR(VLOOKUP($A84,#REF!,3,0)),"x",VLOOKUP($A84,#REF!,3,FALSE))</f>
        <v>x</v>
      </c>
      <c r="G84" s="9">
        <f t="shared" si="4"/>
        <v>1</v>
      </c>
      <c r="H84" s="13">
        <f t="shared" si="5"/>
        <v>7.5</v>
      </c>
    </row>
    <row r="85" spans="1:8" x14ac:dyDescent="0.25">
      <c r="A85" s="2" t="str">
        <f>"575014051"</f>
        <v>575014051</v>
      </c>
      <c r="B85" s="2" t="str">
        <f>"Halteclip ONETRACK 25mm, für Haken / Schlaufen, weiß"</f>
        <v>Halteclip ONETRACK 25mm, für Haken / Schlaufen, weiß</v>
      </c>
      <c r="C85" s="16">
        <v>10</v>
      </c>
      <c r="D85" s="11">
        <v>61</v>
      </c>
      <c r="E85" s="7">
        <f t="shared" si="3"/>
        <v>1</v>
      </c>
      <c r="F85" s="22" t="str">
        <f>IF(ISERROR(VLOOKUP($A85,#REF!,3,0)),"x",VLOOKUP($A85,#REF!,3,FALSE))</f>
        <v>x</v>
      </c>
      <c r="G85" s="9">
        <f t="shared" si="4"/>
        <v>1</v>
      </c>
      <c r="H85" s="13">
        <f t="shared" si="5"/>
        <v>10</v>
      </c>
    </row>
    <row r="86" spans="1:8" x14ac:dyDescent="0.25">
      <c r="A86" s="2" t="str">
        <f>"575014052"</f>
        <v>575014052</v>
      </c>
      <c r="B86" s="2" t="str">
        <f>"Halteclip ONETRACK 25mm, für Haken / Schlaufen, schwarz"</f>
        <v>Halteclip ONETRACK 25mm, für Haken / Schlaufen, schwarz</v>
      </c>
      <c r="C86" s="16">
        <v>10</v>
      </c>
      <c r="D86" s="11">
        <v>61</v>
      </c>
      <c r="E86" s="7">
        <f t="shared" si="3"/>
        <v>1</v>
      </c>
      <c r="F86" s="22" t="str">
        <f>IF(ISERROR(VLOOKUP($A86,#REF!,3,0)),"x",VLOOKUP($A86,#REF!,3,FALSE))</f>
        <v>x</v>
      </c>
      <c r="G86" s="9">
        <f t="shared" si="4"/>
        <v>1</v>
      </c>
      <c r="H86" s="13">
        <f t="shared" si="5"/>
        <v>10</v>
      </c>
    </row>
    <row r="87" spans="1:8" x14ac:dyDescent="0.25">
      <c r="A87" s="2" t="str">
        <f>"575014060"</f>
        <v>575014060</v>
      </c>
      <c r="B87" s="2" t="str">
        <f>"Stoßstellenhalteclip ONETRACK 180mm, für Haken / Schlaufen, Aluminium"</f>
        <v>Stoßstellenhalteclip ONETRACK 180mm, für Haken / Schlaufen, Aluminium</v>
      </c>
      <c r="C87" s="16">
        <v>15</v>
      </c>
      <c r="D87" s="11">
        <v>61</v>
      </c>
      <c r="E87" s="7">
        <f t="shared" si="3"/>
        <v>1</v>
      </c>
      <c r="F87" s="22" t="str">
        <f>IF(ISERROR(VLOOKUP($A87,#REF!,3,0)),"x",VLOOKUP($A87,#REF!,3,FALSE))</f>
        <v>x</v>
      </c>
      <c r="G87" s="9">
        <f t="shared" si="4"/>
        <v>1</v>
      </c>
      <c r="H87" s="13">
        <f t="shared" si="5"/>
        <v>15</v>
      </c>
    </row>
    <row r="88" spans="1:8" x14ac:dyDescent="0.25">
      <c r="A88" s="2" t="str">
        <f>"575014061"</f>
        <v>575014061</v>
      </c>
      <c r="B88" s="2" t="str">
        <f>"Stoßstellenhalteclip ONETRACK 180mm, für Haken / Schlaufen, weiß"</f>
        <v>Stoßstellenhalteclip ONETRACK 180mm, für Haken / Schlaufen, weiß</v>
      </c>
      <c r="C88" s="16">
        <v>17.5</v>
      </c>
      <c r="D88" s="11">
        <v>61</v>
      </c>
      <c r="E88" s="7">
        <f t="shared" si="3"/>
        <v>1</v>
      </c>
      <c r="F88" s="22" t="str">
        <f>IF(ISERROR(VLOOKUP($A88,#REF!,3,0)),"x",VLOOKUP($A88,#REF!,3,FALSE))</f>
        <v>x</v>
      </c>
      <c r="G88" s="9">
        <f t="shared" si="4"/>
        <v>1</v>
      </c>
      <c r="H88" s="13">
        <f t="shared" si="5"/>
        <v>17.5</v>
      </c>
    </row>
    <row r="89" spans="1:8" x14ac:dyDescent="0.25">
      <c r="A89" s="2" t="str">
        <f>"575014062"</f>
        <v>575014062</v>
      </c>
      <c r="B89" s="2" t="str">
        <f>"Stoßstellenhalteclip ONETRACK 180mm, für Haken / Schlaufen, schwarz"</f>
        <v>Stoßstellenhalteclip ONETRACK 180mm, für Haken / Schlaufen, schwarz</v>
      </c>
      <c r="C89" s="16">
        <v>17.5</v>
      </c>
      <c r="D89" s="11">
        <v>61</v>
      </c>
      <c r="E89" s="7">
        <f t="shared" si="3"/>
        <v>1</v>
      </c>
      <c r="F89" s="22" t="str">
        <f>IF(ISERROR(VLOOKUP($A89,#REF!,3,0)),"x",VLOOKUP($A89,#REF!,3,FALSE))</f>
        <v>x</v>
      </c>
      <c r="G89" s="9">
        <f t="shared" si="4"/>
        <v>1</v>
      </c>
      <c r="H89" s="13">
        <f t="shared" si="5"/>
        <v>17.5</v>
      </c>
    </row>
    <row r="90" spans="1:8" x14ac:dyDescent="0.25">
      <c r="A90" s="2" t="str">
        <f>"575014071"</f>
        <v>575014071</v>
      </c>
      <c r="B90" s="2" t="str">
        <f>"Abdeckung für 3~ Aufbau-/Einbauschiene ONETRACK, 1000mm, weiß"</f>
        <v>Abdeckung für 3~ Aufbau-/Einbauschiene ONETRACK, 1000mm, weiß</v>
      </c>
      <c r="C90" s="16">
        <v>5</v>
      </c>
      <c r="D90" s="11">
        <v>60</v>
      </c>
      <c r="E90" s="7">
        <f t="shared" si="3"/>
        <v>1</v>
      </c>
      <c r="F90" s="22" t="str">
        <f>IF(ISERROR(VLOOKUP($A90,#REF!,3,0)),"x",VLOOKUP($A90,#REF!,3,FALSE))</f>
        <v>x</v>
      </c>
      <c r="G90" s="9">
        <f t="shared" si="4"/>
        <v>1</v>
      </c>
      <c r="H90" s="13">
        <f t="shared" si="5"/>
        <v>5</v>
      </c>
    </row>
    <row r="91" spans="1:8" x14ac:dyDescent="0.25">
      <c r="A91" s="2" t="str">
        <f>"575014072"</f>
        <v>575014072</v>
      </c>
      <c r="B91" s="2" t="str">
        <f>"Abdeckung für 3~ Aufbau-/Einbauschiene ONETRACK, 1000mm, schwarz"</f>
        <v>Abdeckung für 3~ Aufbau-/Einbauschiene ONETRACK, 1000mm, schwarz</v>
      </c>
      <c r="C91" s="16">
        <v>5</v>
      </c>
      <c r="D91" s="11">
        <v>60</v>
      </c>
      <c r="E91" s="7">
        <f t="shared" si="3"/>
        <v>1</v>
      </c>
      <c r="F91" s="22" t="str">
        <f>IF(ISERROR(VLOOKUP($A91,#REF!,3,0)),"x",VLOOKUP($A91,#REF!,3,FALSE))</f>
        <v>x</v>
      </c>
      <c r="G91" s="9">
        <f t="shared" si="4"/>
        <v>1</v>
      </c>
      <c r="H91" s="13">
        <f t="shared" si="5"/>
        <v>5</v>
      </c>
    </row>
    <row r="92" spans="1:8" x14ac:dyDescent="0.25">
      <c r="A92" s="2" t="str">
        <f>"575014078"</f>
        <v>575014078</v>
      </c>
      <c r="B92" s="2" t="str">
        <f>"Abdeckung für 3~ Aufbau-/Einbauschiene ONETRACK, 1000mm, grau"</f>
        <v>Abdeckung für 3~ Aufbau-/Einbauschiene ONETRACK, 1000mm, grau</v>
      </c>
      <c r="C92" s="16">
        <v>5</v>
      </c>
      <c r="D92" s="11">
        <v>60</v>
      </c>
      <c r="E92" s="7">
        <f t="shared" si="3"/>
        <v>1</v>
      </c>
      <c r="F92" s="22" t="str">
        <f>IF(ISERROR(VLOOKUP($A92,#REF!,3,0)),"x",VLOOKUP($A92,#REF!,3,FALSE))</f>
        <v>x</v>
      </c>
      <c r="G92" s="9">
        <f t="shared" si="4"/>
        <v>1</v>
      </c>
      <c r="H92" s="13">
        <f t="shared" si="5"/>
        <v>5</v>
      </c>
    </row>
    <row r="93" spans="1:8" x14ac:dyDescent="0.25">
      <c r="A93" s="2" t="str">
        <f>"575032171"</f>
        <v>575032171</v>
      </c>
      <c r="B93" s="2" t="str">
        <f>"Endkappe für 3~ Einbauschiene ONETRACK, weiß"</f>
        <v>Endkappe für 3~ Einbauschiene ONETRACK, weiß</v>
      </c>
      <c r="C93" s="16">
        <v>5</v>
      </c>
      <c r="D93" s="11">
        <v>65</v>
      </c>
      <c r="E93" s="7">
        <f t="shared" si="3"/>
        <v>1</v>
      </c>
      <c r="F93" s="22" t="str">
        <f>IF(ISERROR(VLOOKUP($A93,#REF!,3,0)),"x",VLOOKUP($A93,#REF!,3,FALSE))</f>
        <v>x</v>
      </c>
      <c r="G93" s="9">
        <f t="shared" si="4"/>
        <v>1</v>
      </c>
      <c r="H93" s="13">
        <f t="shared" si="5"/>
        <v>5</v>
      </c>
    </row>
    <row r="94" spans="1:8" x14ac:dyDescent="0.25">
      <c r="A94" s="2" t="str">
        <f>"575032172"</f>
        <v>575032172</v>
      </c>
      <c r="B94" s="2" t="str">
        <f>"Endkappe für 3~ Einbauschiene ONETRACK, schwarz"</f>
        <v>Endkappe für 3~ Einbauschiene ONETRACK, schwarz</v>
      </c>
      <c r="C94" s="16">
        <v>5</v>
      </c>
      <c r="D94" s="11">
        <v>65</v>
      </c>
      <c r="E94" s="7">
        <f t="shared" si="3"/>
        <v>1</v>
      </c>
      <c r="F94" s="22" t="str">
        <f>IF(ISERROR(VLOOKUP($A94,#REF!,3,0)),"x",VLOOKUP($A94,#REF!,3,FALSE))</f>
        <v>x</v>
      </c>
      <c r="G94" s="9">
        <f t="shared" si="4"/>
        <v>1</v>
      </c>
      <c r="H94" s="13">
        <f t="shared" si="5"/>
        <v>5</v>
      </c>
    </row>
    <row r="95" spans="1:8" x14ac:dyDescent="0.25">
      <c r="A95" s="2" t="str">
        <f>"575066011"</f>
        <v>575066011</v>
      </c>
      <c r="B95" s="2" t="str">
        <f>"3-Phasen ONETRACK Zugentlastung weiß"</f>
        <v>3-Phasen ONETRACK Zugentlastung weiß</v>
      </c>
      <c r="C95" s="16">
        <v>5</v>
      </c>
      <c r="D95" s="11">
        <v>65</v>
      </c>
      <c r="E95" s="7">
        <f t="shared" si="3"/>
        <v>1</v>
      </c>
      <c r="F95" s="22" t="str">
        <f>IF(ISERROR(VLOOKUP($A95,#REF!,3,0)),"x",VLOOKUP($A95,#REF!,3,FALSE))</f>
        <v>x</v>
      </c>
      <c r="G95" s="9">
        <f t="shared" si="4"/>
        <v>1</v>
      </c>
      <c r="H95" s="13">
        <f t="shared" si="5"/>
        <v>5</v>
      </c>
    </row>
    <row r="96" spans="1:8" x14ac:dyDescent="0.25">
      <c r="A96" s="2" t="str">
        <f>"575066012"</f>
        <v>575066012</v>
      </c>
      <c r="B96" s="2" t="str">
        <f>"3-Phasen ONETRACK Zugentlastung schwarz"</f>
        <v>3-Phasen ONETRACK Zugentlastung schwarz</v>
      </c>
      <c r="C96" s="16">
        <v>5</v>
      </c>
      <c r="D96" s="11">
        <v>65</v>
      </c>
      <c r="E96" s="7">
        <f t="shared" si="3"/>
        <v>1</v>
      </c>
      <c r="F96" s="22" t="str">
        <f>IF(ISERROR(VLOOKUP($A96,#REF!,3,0)),"x",VLOOKUP($A96,#REF!,3,FALSE))</f>
        <v>x</v>
      </c>
      <c r="G96" s="9">
        <f t="shared" si="4"/>
        <v>1</v>
      </c>
      <c r="H96" s="13">
        <f t="shared" si="5"/>
        <v>5</v>
      </c>
    </row>
    <row r="97" spans="1:8" x14ac:dyDescent="0.25">
      <c r="A97" s="2" t="str">
        <f>"575066020"</f>
        <v>575066020</v>
      </c>
      <c r="B97" s="2" t="str">
        <f>"3-Phasen ONETRACK Montagenippel M10 Innengewinde"</f>
        <v>3-Phasen ONETRACK Montagenippel M10 Innengewinde</v>
      </c>
      <c r="C97" s="16">
        <v>7.5</v>
      </c>
      <c r="D97" s="11">
        <v>60</v>
      </c>
      <c r="E97" s="7">
        <f t="shared" si="3"/>
        <v>1</v>
      </c>
      <c r="F97" s="22" t="str">
        <f>IF(ISERROR(VLOOKUP($A97,#REF!,3,0)),"x",VLOOKUP($A97,#REF!,3,FALSE))</f>
        <v>x</v>
      </c>
      <c r="G97" s="9">
        <f t="shared" si="4"/>
        <v>1</v>
      </c>
      <c r="H97" s="13">
        <f t="shared" si="5"/>
        <v>7.5</v>
      </c>
    </row>
    <row r="98" spans="1:8" x14ac:dyDescent="0.25">
      <c r="A98" s="2" t="str">
        <f>"575066030"</f>
        <v>575066030</v>
      </c>
      <c r="B98" s="2" t="str">
        <f>"3-Phasen ONETRACK Montagenippel M10 Außengewinde"</f>
        <v>3-Phasen ONETRACK Montagenippel M10 Außengewinde</v>
      </c>
      <c r="C98" s="16">
        <v>10</v>
      </c>
      <c r="D98" s="11">
        <v>60</v>
      </c>
      <c r="E98" s="7">
        <f t="shared" si="3"/>
        <v>1</v>
      </c>
      <c r="F98" s="22" t="str">
        <f>IF(ISERROR(VLOOKUP($A98,#REF!,3,0)),"x",VLOOKUP($A98,#REF!,3,FALSE))</f>
        <v>x</v>
      </c>
      <c r="G98" s="9">
        <f t="shared" si="4"/>
        <v>1</v>
      </c>
      <c r="H98" s="13">
        <f t="shared" si="5"/>
        <v>10</v>
      </c>
    </row>
    <row r="99" spans="1:8" x14ac:dyDescent="0.25">
      <c r="A99" s="2" t="str">
        <f>"575066040"</f>
        <v>575066040</v>
      </c>
      <c r="B99" s="2" t="str">
        <f>"3-Phasen ONETRACK Montagenippel M13 Außengewinde"</f>
        <v>3-Phasen ONETRACK Montagenippel M13 Außengewinde</v>
      </c>
      <c r="C99" s="16">
        <v>10</v>
      </c>
      <c r="D99" s="11">
        <v>60</v>
      </c>
      <c r="E99" s="7">
        <f t="shared" si="3"/>
        <v>1</v>
      </c>
      <c r="F99" s="22" t="str">
        <f>IF(ISERROR(VLOOKUP($A99,#REF!,3,0)),"x",VLOOKUP($A99,#REF!,3,FALSE))</f>
        <v>x</v>
      </c>
      <c r="G99" s="9">
        <f t="shared" si="4"/>
        <v>1</v>
      </c>
      <c r="H99" s="13">
        <f t="shared" si="5"/>
        <v>10</v>
      </c>
    </row>
    <row r="100" spans="1:8" x14ac:dyDescent="0.25">
      <c r="A100" s="2" t="str">
        <f>"575066171"</f>
        <v>575066171</v>
      </c>
      <c r="B100" s="2" t="str">
        <f>"Haken ONETRACK, weiß"</f>
        <v>Haken ONETRACK, weiß</v>
      </c>
      <c r="C100" s="16">
        <v>5</v>
      </c>
      <c r="D100" s="11">
        <v>60</v>
      </c>
      <c r="E100" s="7">
        <f t="shared" si="3"/>
        <v>1</v>
      </c>
      <c r="F100" s="22" t="str">
        <f>IF(ISERROR(VLOOKUP($A100,#REF!,3,0)),"x",VLOOKUP($A100,#REF!,3,FALSE))</f>
        <v>x</v>
      </c>
      <c r="G100" s="9">
        <f t="shared" si="4"/>
        <v>1</v>
      </c>
      <c r="H100" s="13">
        <f t="shared" si="5"/>
        <v>5</v>
      </c>
    </row>
    <row r="101" spans="1:8" x14ac:dyDescent="0.25">
      <c r="A101" s="2" t="str">
        <f>"575066172"</f>
        <v>575066172</v>
      </c>
      <c r="B101" s="2" t="str">
        <f>"Haken ONETRACK, schwarz"</f>
        <v>Haken ONETRACK, schwarz</v>
      </c>
      <c r="C101" s="16">
        <v>5</v>
      </c>
      <c r="D101" s="11">
        <v>60</v>
      </c>
      <c r="E101" s="7">
        <f t="shared" si="3"/>
        <v>1</v>
      </c>
      <c r="F101" s="22" t="str">
        <f>IF(ISERROR(VLOOKUP($A101,#REF!,3,0)),"x",VLOOKUP($A101,#REF!,3,FALSE))</f>
        <v>x</v>
      </c>
      <c r="G101" s="9">
        <f t="shared" si="4"/>
        <v>1</v>
      </c>
      <c r="H101" s="13">
        <f t="shared" si="5"/>
        <v>5</v>
      </c>
    </row>
    <row r="102" spans="1:8" x14ac:dyDescent="0.25">
      <c r="A102" s="2" t="str">
        <f>"575066178"</f>
        <v>575066178</v>
      </c>
      <c r="B102" s="2" t="str">
        <f>"Haken ONETRACK, grau"</f>
        <v>Haken ONETRACK, grau</v>
      </c>
      <c r="C102" s="16">
        <v>5</v>
      </c>
      <c r="D102" s="11">
        <v>60</v>
      </c>
      <c r="E102" s="7">
        <f t="shared" si="3"/>
        <v>1</v>
      </c>
      <c r="F102" s="22" t="str">
        <f>IF(ISERROR(VLOOKUP($A102,#REF!,3,0)),"x",VLOOKUP($A102,#REF!,3,FALSE))</f>
        <v>x</v>
      </c>
      <c r="G102" s="9">
        <f t="shared" si="4"/>
        <v>1</v>
      </c>
      <c r="H102" s="13">
        <f t="shared" si="5"/>
        <v>5</v>
      </c>
    </row>
    <row r="103" spans="1:8" x14ac:dyDescent="0.25">
      <c r="A103" s="2" t="str">
        <f>"575072271"</f>
        <v>575072271</v>
      </c>
      <c r="B103" s="2" t="str">
        <f>"Einbautopf für Universal-Punktauslass ONETRACK, weiß"</f>
        <v>Einbautopf für Universal-Punktauslass ONETRACK, weiß</v>
      </c>
      <c r="C103" s="16">
        <v>32.5</v>
      </c>
      <c r="D103" s="11">
        <v>60</v>
      </c>
      <c r="E103" s="7">
        <f t="shared" si="3"/>
        <v>1</v>
      </c>
      <c r="F103" s="22" t="str">
        <f>IF(ISERROR(VLOOKUP($A103,#REF!,3,0)),"x",VLOOKUP($A103,#REF!,3,FALSE))</f>
        <v>x</v>
      </c>
      <c r="G103" s="9">
        <f t="shared" si="4"/>
        <v>1</v>
      </c>
      <c r="H103" s="13">
        <f t="shared" si="5"/>
        <v>32.5</v>
      </c>
    </row>
    <row r="104" spans="1:8" x14ac:dyDescent="0.25">
      <c r="A104" s="2" t="str">
        <f>"575072272"</f>
        <v>575072272</v>
      </c>
      <c r="B104" s="2" t="str">
        <f>"Einbautopf für Universal-Punktauslass ONETRACK, schwarz"</f>
        <v>Einbautopf für Universal-Punktauslass ONETRACK, schwarz</v>
      </c>
      <c r="C104" s="16">
        <v>32.5</v>
      </c>
      <c r="D104" s="11">
        <v>60</v>
      </c>
      <c r="E104" s="7">
        <f t="shared" si="3"/>
        <v>1</v>
      </c>
      <c r="F104" s="22" t="str">
        <f>IF(ISERROR(VLOOKUP($A104,#REF!,3,0)),"x",VLOOKUP($A104,#REF!,3,FALSE))</f>
        <v>x</v>
      </c>
      <c r="G104" s="9">
        <f t="shared" si="4"/>
        <v>1</v>
      </c>
      <c r="H104" s="13">
        <f t="shared" si="5"/>
        <v>32.5</v>
      </c>
    </row>
    <row r="105" spans="1:8" x14ac:dyDescent="0.25">
      <c r="A105" s="2" t="str">
        <f>"575072278"</f>
        <v>575072278</v>
      </c>
      <c r="B105" s="2" t="str">
        <f>"Einbautopf für Universal-Punktauslass ONETRACK, grau"</f>
        <v>Einbautopf für Universal-Punktauslass ONETRACK, grau</v>
      </c>
      <c r="C105" s="16">
        <v>32.5</v>
      </c>
      <c r="D105" s="11">
        <v>60</v>
      </c>
      <c r="E105" s="7">
        <f t="shared" si="3"/>
        <v>1</v>
      </c>
      <c r="F105" s="22" t="str">
        <f>IF(ISERROR(VLOOKUP($A105,#REF!,3,0)),"x",VLOOKUP($A105,#REF!,3,FALSE))</f>
        <v>x</v>
      </c>
      <c r="G105" s="9">
        <f t="shared" si="4"/>
        <v>1</v>
      </c>
      <c r="H105" s="13">
        <f t="shared" si="5"/>
        <v>32.5</v>
      </c>
    </row>
    <row r="106" spans="1:8" x14ac:dyDescent="0.25">
      <c r="A106" s="2" t="str">
        <f>"575072281"</f>
        <v>575072281</v>
      </c>
      <c r="B106" s="2" t="str">
        <f>"Aufbau-Universal-Punktauslaß für 3-Phasen-Adapter, ONETRACK, weiß"</f>
        <v>Aufbau-Universal-Punktauslaß für 3-Phasen-Adapter, ONETRACK, weiß</v>
      </c>
      <c r="C106" s="16">
        <v>40</v>
      </c>
      <c r="D106" s="11">
        <v>60</v>
      </c>
      <c r="E106" s="7">
        <f t="shared" si="3"/>
        <v>1</v>
      </c>
      <c r="F106" s="22" t="str">
        <f>IF(ISERROR(VLOOKUP($A106,#REF!,3,0)),"x",VLOOKUP($A106,#REF!,3,FALSE))</f>
        <v>x</v>
      </c>
      <c r="G106" s="9">
        <f t="shared" si="4"/>
        <v>1</v>
      </c>
      <c r="H106" s="13">
        <f t="shared" si="5"/>
        <v>40</v>
      </c>
    </row>
    <row r="107" spans="1:8" x14ac:dyDescent="0.25">
      <c r="A107" s="2" t="str">
        <f>"575072282"</f>
        <v>575072282</v>
      </c>
      <c r="B107" s="2" t="str">
        <f>"Aufbau-Universal-Punktauslaß für 3-Phasen-Adapter, ONETRACK, schwarz"</f>
        <v>Aufbau-Universal-Punktauslaß für 3-Phasen-Adapter, ONETRACK, schwarz</v>
      </c>
      <c r="C107" s="16">
        <v>40</v>
      </c>
      <c r="D107" s="11">
        <v>60</v>
      </c>
      <c r="E107" s="7">
        <f t="shared" si="3"/>
        <v>1</v>
      </c>
      <c r="F107" s="22" t="str">
        <f>IF(ISERROR(VLOOKUP($A107,#REF!,3,0)),"x",VLOOKUP($A107,#REF!,3,FALSE))</f>
        <v>x</v>
      </c>
      <c r="G107" s="9">
        <f t="shared" si="4"/>
        <v>1</v>
      </c>
      <c r="H107" s="13">
        <f t="shared" si="5"/>
        <v>40</v>
      </c>
    </row>
    <row r="108" spans="1:8" x14ac:dyDescent="0.25">
      <c r="A108" s="2" t="str">
        <f>"575072288"</f>
        <v>575072288</v>
      </c>
      <c r="B108" s="2" t="str">
        <f>"Aufbau-Universal-Punktauslaß für 3-Phasen-Adapter, ONETRACK, grau"</f>
        <v>Aufbau-Universal-Punktauslaß für 3-Phasen-Adapter, ONETRACK, grau</v>
      </c>
      <c r="C108" s="16">
        <v>47.5</v>
      </c>
      <c r="D108" s="11">
        <v>60</v>
      </c>
      <c r="E108" s="7">
        <f t="shared" si="3"/>
        <v>1</v>
      </c>
      <c r="F108" s="22" t="str">
        <f>IF(ISERROR(VLOOKUP($A108,#REF!,3,0)),"x",VLOOKUP($A108,#REF!,3,FALSE))</f>
        <v>x</v>
      </c>
      <c r="G108" s="9">
        <f t="shared" si="4"/>
        <v>1</v>
      </c>
      <c r="H108" s="13">
        <f t="shared" si="5"/>
        <v>47.5</v>
      </c>
    </row>
    <row r="109" spans="1:8" x14ac:dyDescent="0.25">
      <c r="A109" s="2" t="str">
        <f>"575099010"</f>
        <v>575099010</v>
      </c>
      <c r="B109" s="2" t="str">
        <f>"ONETRACK Rückschneidewerkzeug"</f>
        <v>ONETRACK Rückschneidewerkzeug</v>
      </c>
      <c r="C109" s="16">
        <v>122.5</v>
      </c>
      <c r="D109" s="11">
        <v>59</v>
      </c>
      <c r="E109" s="7">
        <f t="shared" si="3"/>
        <v>1</v>
      </c>
      <c r="F109" s="22" t="str">
        <f>IF(ISERROR(VLOOKUP($A109,#REF!,3,0)),"x",VLOOKUP($A109,#REF!,3,FALSE))</f>
        <v>x</v>
      </c>
      <c r="G109" s="9">
        <f t="shared" si="4"/>
        <v>1</v>
      </c>
      <c r="H109" s="13">
        <f t="shared" si="5"/>
        <v>122.5</v>
      </c>
    </row>
    <row r="110" spans="1:8" x14ac:dyDescent="0.25">
      <c r="A110" s="2" t="str">
        <f>"575163201"</f>
        <v>575163201</v>
      </c>
      <c r="B110" s="2" t="str">
        <f>"LED Konverter In-Track Adapter ONETRACK, 30W 700mA, On/Off, weiß"</f>
        <v>LED Konverter In-Track Adapter ONETRACK, 30W 700mA, On/Off, weiß</v>
      </c>
      <c r="C110" s="16">
        <v>72.5</v>
      </c>
      <c r="D110" s="11">
        <v>60</v>
      </c>
      <c r="E110" s="7">
        <f t="shared" si="3"/>
        <v>1</v>
      </c>
      <c r="F110" s="22" t="str">
        <f>IF(ISERROR(VLOOKUP($A110,#REF!,3,0)),"x",VLOOKUP($A110,#REF!,3,FALSE))</f>
        <v>x</v>
      </c>
      <c r="G110" s="9">
        <f t="shared" si="4"/>
        <v>1</v>
      </c>
      <c r="H110" s="13">
        <f t="shared" si="5"/>
        <v>72.5</v>
      </c>
    </row>
    <row r="111" spans="1:8" x14ac:dyDescent="0.25">
      <c r="A111" s="2" t="str">
        <f>"575163202"</f>
        <v>575163202</v>
      </c>
      <c r="B111" s="2" t="str">
        <f>"LED Konverter In-Track Adapter ONETRACK, 30W 700mA, On/Off, schwarz"</f>
        <v>LED Konverter In-Track Adapter ONETRACK, 30W 700mA, On/Off, schwarz</v>
      </c>
      <c r="C111" s="16">
        <v>72.5</v>
      </c>
      <c r="D111" s="11">
        <v>60</v>
      </c>
      <c r="E111" s="7">
        <f t="shared" si="3"/>
        <v>1</v>
      </c>
      <c r="F111" s="22" t="str">
        <f>IF(ISERROR(VLOOKUP($A111,#REF!,3,0)),"x",VLOOKUP($A111,#REF!,3,FALSE))</f>
        <v>x</v>
      </c>
      <c r="G111" s="9">
        <f t="shared" si="4"/>
        <v>1</v>
      </c>
      <c r="H111" s="13">
        <f t="shared" si="5"/>
        <v>72.5</v>
      </c>
    </row>
    <row r="112" spans="1:8" x14ac:dyDescent="0.25">
      <c r="A112" s="2" t="str">
        <f>"575165331"</f>
        <v>575165331</v>
      </c>
      <c r="B112" s="2" t="str">
        <f>"In-Track Adapter ONETRACK, ON/OFF, weiß"</f>
        <v>In-Track Adapter ONETRACK, ON/OFF, weiß</v>
      </c>
      <c r="C112" s="16">
        <v>17.5</v>
      </c>
      <c r="D112" s="11">
        <v>60</v>
      </c>
      <c r="E112" s="7">
        <f t="shared" si="3"/>
        <v>1</v>
      </c>
      <c r="F112" s="22" t="str">
        <f>IF(ISERROR(VLOOKUP($A112,#REF!,3,0)),"x",VLOOKUP($A112,#REF!,3,FALSE))</f>
        <v>x</v>
      </c>
      <c r="G112" s="9">
        <f t="shared" si="4"/>
        <v>1</v>
      </c>
      <c r="H112" s="13">
        <f t="shared" si="5"/>
        <v>17.5</v>
      </c>
    </row>
    <row r="113" spans="1:8" x14ac:dyDescent="0.25">
      <c r="A113" s="2" t="str">
        <f>"575165332"</f>
        <v>575165332</v>
      </c>
      <c r="B113" s="2" t="str">
        <f>"In-Track Adapter ONETRACK, ON/OFF, schwarz"</f>
        <v>In-Track Adapter ONETRACK, ON/OFF, schwarz</v>
      </c>
      <c r="C113" s="16">
        <v>17.5</v>
      </c>
      <c r="D113" s="11">
        <v>60</v>
      </c>
      <c r="E113" s="7">
        <f t="shared" si="3"/>
        <v>1</v>
      </c>
      <c r="F113" s="22" t="str">
        <f>IF(ISERROR(VLOOKUP($A113,#REF!,3,0)),"x",VLOOKUP($A113,#REF!,3,FALSE))</f>
        <v>x</v>
      </c>
      <c r="G113" s="9">
        <f t="shared" si="4"/>
        <v>1</v>
      </c>
      <c r="H113" s="13">
        <f t="shared" si="5"/>
        <v>17.5</v>
      </c>
    </row>
    <row r="114" spans="1:8" x14ac:dyDescent="0.25">
      <c r="A114" s="2" t="str">
        <f>"575212011"</f>
        <v>575212011</v>
      </c>
      <c r="B114" s="2" t="str">
        <f>"Einspeiser f. 3~ Aufbauschiene ONETRACK, SL rechts, weiß"</f>
        <v>Einspeiser f. 3~ Aufbauschiene ONETRACK, SL rechts, weiß</v>
      </c>
      <c r="C114" s="16">
        <v>17.5</v>
      </c>
      <c r="D114" s="11">
        <v>59</v>
      </c>
      <c r="E114" s="7">
        <f t="shared" si="3"/>
        <v>1</v>
      </c>
      <c r="F114" s="22" t="str">
        <f>IF(ISERROR(VLOOKUP($A114,#REF!,3,0)),"x",VLOOKUP($A114,#REF!,3,FALSE))</f>
        <v>x</v>
      </c>
      <c r="G114" s="9">
        <f t="shared" si="4"/>
        <v>1</v>
      </c>
      <c r="H114" s="13">
        <f t="shared" si="5"/>
        <v>17.5</v>
      </c>
    </row>
    <row r="115" spans="1:8" x14ac:dyDescent="0.25">
      <c r="A115" s="2" t="str">
        <f>"575212012"</f>
        <v>575212012</v>
      </c>
      <c r="B115" s="2" t="str">
        <f>"Einspeiser f. 3~ Aufbauschiene ONETRACK, SL rechts, schwarz"</f>
        <v>Einspeiser f. 3~ Aufbauschiene ONETRACK, SL rechts, schwarz</v>
      </c>
      <c r="C115" s="16">
        <v>17.5</v>
      </c>
      <c r="D115" s="11">
        <v>59</v>
      </c>
      <c r="E115" s="7">
        <f t="shared" si="3"/>
        <v>1</v>
      </c>
      <c r="F115" s="22" t="str">
        <f>IF(ISERROR(VLOOKUP($A115,#REF!,3,0)),"x",VLOOKUP($A115,#REF!,3,FALSE))</f>
        <v>x</v>
      </c>
      <c r="G115" s="9">
        <f t="shared" si="4"/>
        <v>1</v>
      </c>
      <c r="H115" s="13">
        <f t="shared" si="5"/>
        <v>17.5</v>
      </c>
    </row>
    <row r="116" spans="1:8" x14ac:dyDescent="0.25">
      <c r="A116" s="2" t="str">
        <f>"575212018"</f>
        <v>575212018</v>
      </c>
      <c r="B116" s="2" t="str">
        <f>"Einspeiser f. 3~ Aufbauschiene ONETRACK, SL rechts, grau"</f>
        <v>Einspeiser f. 3~ Aufbauschiene ONETRACK, SL rechts, grau</v>
      </c>
      <c r="C116" s="16">
        <v>17.5</v>
      </c>
      <c r="D116" s="11">
        <v>59</v>
      </c>
      <c r="E116" s="7">
        <f t="shared" si="3"/>
        <v>1</v>
      </c>
      <c r="F116" s="22" t="str">
        <f>IF(ISERROR(VLOOKUP($A116,#REF!,3,0)),"x",VLOOKUP($A116,#REF!,3,FALSE))</f>
        <v>x</v>
      </c>
      <c r="G116" s="9">
        <f t="shared" si="4"/>
        <v>1</v>
      </c>
      <c r="H116" s="13">
        <f t="shared" si="5"/>
        <v>17.5</v>
      </c>
    </row>
    <row r="117" spans="1:8" x14ac:dyDescent="0.25">
      <c r="A117" s="2" t="str">
        <f>"575212021"</f>
        <v>575212021</v>
      </c>
      <c r="B117" s="2" t="str">
        <f>"Einspeiser f. 3~ Aufbauschiene ONETRACK, SL links, weiß"</f>
        <v>Einspeiser f. 3~ Aufbauschiene ONETRACK, SL links, weiß</v>
      </c>
      <c r="C117" s="16">
        <v>17.5</v>
      </c>
      <c r="D117" s="11">
        <v>59</v>
      </c>
      <c r="E117" s="7">
        <f t="shared" si="3"/>
        <v>1</v>
      </c>
      <c r="F117" s="22" t="str">
        <f>IF(ISERROR(VLOOKUP($A117,#REF!,3,0)),"x",VLOOKUP($A117,#REF!,3,FALSE))</f>
        <v>x</v>
      </c>
      <c r="G117" s="9">
        <f t="shared" si="4"/>
        <v>1</v>
      </c>
      <c r="H117" s="13">
        <f t="shared" si="5"/>
        <v>17.5</v>
      </c>
    </row>
    <row r="118" spans="1:8" x14ac:dyDescent="0.25">
      <c r="A118" s="2" t="str">
        <f>"575212022"</f>
        <v>575212022</v>
      </c>
      <c r="B118" s="2" t="str">
        <f>"Einspeiser f. 3~ Aufbauschiene ONETRACK, SL links, schwarz"</f>
        <v>Einspeiser f. 3~ Aufbauschiene ONETRACK, SL links, schwarz</v>
      </c>
      <c r="C118" s="16">
        <v>17.5</v>
      </c>
      <c r="D118" s="11">
        <v>59</v>
      </c>
      <c r="E118" s="7">
        <f t="shared" si="3"/>
        <v>1</v>
      </c>
      <c r="F118" s="22" t="str">
        <f>IF(ISERROR(VLOOKUP($A118,#REF!,3,0)),"x",VLOOKUP($A118,#REF!,3,FALSE))</f>
        <v>x</v>
      </c>
      <c r="G118" s="9">
        <f t="shared" si="4"/>
        <v>1</v>
      </c>
      <c r="H118" s="13">
        <f t="shared" si="5"/>
        <v>17.5</v>
      </c>
    </row>
    <row r="119" spans="1:8" x14ac:dyDescent="0.25">
      <c r="A119" s="2" t="str">
        <f>"575212028"</f>
        <v>575212028</v>
      </c>
      <c r="B119" s="2" t="str">
        <f>"Einspeiser f. 3~ Aufbauschiene ONETRACK, SL links, grau"</f>
        <v>Einspeiser f. 3~ Aufbauschiene ONETRACK, SL links, grau</v>
      </c>
      <c r="C119" s="16">
        <v>17.5</v>
      </c>
      <c r="D119" s="11">
        <v>59</v>
      </c>
      <c r="E119" s="7">
        <f t="shared" si="3"/>
        <v>1</v>
      </c>
      <c r="F119" s="22" t="str">
        <f>IF(ISERROR(VLOOKUP($A119,#REF!,3,0)),"x",VLOOKUP($A119,#REF!,3,FALSE))</f>
        <v>x</v>
      </c>
      <c r="G119" s="9">
        <f t="shared" si="4"/>
        <v>1</v>
      </c>
      <c r="H119" s="13">
        <f t="shared" si="5"/>
        <v>17.5</v>
      </c>
    </row>
    <row r="120" spans="1:8" x14ac:dyDescent="0.25">
      <c r="A120" s="2" t="str">
        <f>"575212061"</f>
        <v>575212061</v>
      </c>
      <c r="B120" s="2" t="str">
        <f>"Längsverbinder f. 3~ ONETRACK, innenliegend, weiß"</f>
        <v>Längsverbinder f. 3~ ONETRACK, innenliegend, weiß</v>
      </c>
      <c r="C120" s="16">
        <v>12.5</v>
      </c>
      <c r="D120" s="11">
        <v>59</v>
      </c>
      <c r="E120" s="7">
        <f t="shared" si="3"/>
        <v>1</v>
      </c>
      <c r="F120" s="22" t="str">
        <f>IF(ISERROR(VLOOKUP($A120,#REF!,3,0)),"x",VLOOKUP($A120,#REF!,3,FALSE))</f>
        <v>x</v>
      </c>
      <c r="G120" s="9">
        <f t="shared" si="4"/>
        <v>1</v>
      </c>
      <c r="H120" s="13">
        <f t="shared" si="5"/>
        <v>12.5</v>
      </c>
    </row>
    <row r="121" spans="1:8" x14ac:dyDescent="0.25">
      <c r="A121" s="2" t="str">
        <f>"575212062"</f>
        <v>575212062</v>
      </c>
      <c r="B121" s="2" t="str">
        <f>"Längsverbinder f. 3~ ONETRACK, innenliegend, schwarz"</f>
        <v>Längsverbinder f. 3~ ONETRACK, innenliegend, schwarz</v>
      </c>
      <c r="C121" s="16">
        <v>12.5</v>
      </c>
      <c r="D121" s="11">
        <v>59</v>
      </c>
      <c r="E121" s="7">
        <f t="shared" si="3"/>
        <v>1</v>
      </c>
      <c r="F121" s="22" t="str">
        <f>IF(ISERROR(VLOOKUP($A121,#REF!,3,0)),"x",VLOOKUP($A121,#REF!,3,FALSE))</f>
        <v>x</v>
      </c>
      <c r="G121" s="9">
        <f t="shared" si="4"/>
        <v>1</v>
      </c>
      <c r="H121" s="13">
        <f t="shared" si="5"/>
        <v>12.5</v>
      </c>
    </row>
    <row r="122" spans="1:8" x14ac:dyDescent="0.25">
      <c r="A122" s="2" t="str">
        <f>"575212068"</f>
        <v>575212068</v>
      </c>
      <c r="B122" s="2" t="str">
        <f>"Längsverbinder f. 3~ ONETRACK, innenliegend, grau"</f>
        <v>Längsverbinder f. 3~ ONETRACK, innenliegend, grau</v>
      </c>
      <c r="C122" s="16">
        <v>12.5</v>
      </c>
      <c r="D122" s="11">
        <v>59</v>
      </c>
      <c r="E122" s="7">
        <f t="shared" si="3"/>
        <v>1</v>
      </c>
      <c r="F122" s="22" t="str">
        <f>IF(ISERROR(VLOOKUP($A122,#REF!,3,0)),"x",VLOOKUP($A122,#REF!,3,FALSE))</f>
        <v>x</v>
      </c>
      <c r="G122" s="9">
        <f t="shared" si="4"/>
        <v>1</v>
      </c>
      <c r="H122" s="13">
        <f t="shared" si="5"/>
        <v>12.5</v>
      </c>
    </row>
    <row r="123" spans="1:8" x14ac:dyDescent="0.25">
      <c r="A123" s="2" t="str">
        <f>"575212081"</f>
        <v>575212081</v>
      </c>
      <c r="B123" s="2" t="str">
        <f>"I-Verbinder f. 3~ ONETRACK Aufbau, mit Einspeisemöglichkeit, weiß"</f>
        <v>I-Verbinder f. 3~ ONETRACK Aufbau, mit Einspeisemöglichkeit, weiß</v>
      </c>
      <c r="C123" s="16">
        <v>47.5</v>
      </c>
      <c r="D123" s="11">
        <v>59</v>
      </c>
      <c r="E123" s="7">
        <f t="shared" si="3"/>
        <v>1</v>
      </c>
      <c r="F123" s="22" t="str">
        <f>IF(ISERROR(VLOOKUP($A123,#REF!,3,0)),"x",VLOOKUP($A123,#REF!,3,FALSE))</f>
        <v>x</v>
      </c>
      <c r="G123" s="9">
        <f t="shared" si="4"/>
        <v>1</v>
      </c>
      <c r="H123" s="13">
        <f t="shared" si="5"/>
        <v>47.5</v>
      </c>
    </row>
    <row r="124" spans="1:8" x14ac:dyDescent="0.25">
      <c r="A124" s="2" t="str">
        <f>"575212082"</f>
        <v>575212082</v>
      </c>
      <c r="B124" s="2" t="str">
        <f>"I-Verbinder f. 3~ ONETRACK Aufbau, mit Einspeisemöglichkeit, schwarz"</f>
        <v>I-Verbinder f. 3~ ONETRACK Aufbau, mit Einspeisemöglichkeit, schwarz</v>
      </c>
      <c r="C124" s="16">
        <v>47.5</v>
      </c>
      <c r="D124" s="11">
        <v>59</v>
      </c>
      <c r="E124" s="7">
        <f t="shared" si="3"/>
        <v>1</v>
      </c>
      <c r="F124" s="22" t="str">
        <f>IF(ISERROR(VLOOKUP($A124,#REF!,3,0)),"x",VLOOKUP($A124,#REF!,3,FALSE))</f>
        <v>x</v>
      </c>
      <c r="G124" s="9">
        <f t="shared" si="4"/>
        <v>1</v>
      </c>
      <c r="H124" s="13">
        <f t="shared" si="5"/>
        <v>47.5</v>
      </c>
    </row>
    <row r="125" spans="1:8" x14ac:dyDescent="0.25">
      <c r="A125" s="2" t="str">
        <f>"575212088"</f>
        <v>575212088</v>
      </c>
      <c r="B125" s="2" t="str">
        <f>"I-Verbinder f. 3~ ONETRACK Aufbau, mit Einspeisemöglichkeit, grau"</f>
        <v>I-Verbinder f. 3~ ONETRACK Aufbau, mit Einspeisemöglichkeit, grau</v>
      </c>
      <c r="C125" s="16">
        <v>47.5</v>
      </c>
      <c r="D125" s="11">
        <v>59</v>
      </c>
      <c r="E125" s="7">
        <f t="shared" si="3"/>
        <v>1</v>
      </c>
      <c r="F125" s="22" t="str">
        <f>IF(ISERROR(VLOOKUP($A125,#REF!,3,0)),"x",VLOOKUP($A125,#REF!,3,FALSE))</f>
        <v>x</v>
      </c>
      <c r="G125" s="9">
        <f t="shared" si="4"/>
        <v>1</v>
      </c>
      <c r="H125" s="13">
        <f t="shared" si="5"/>
        <v>47.5</v>
      </c>
    </row>
    <row r="126" spans="1:8" x14ac:dyDescent="0.25">
      <c r="A126" s="2" t="str">
        <f>"575212091"</f>
        <v>575212091</v>
      </c>
      <c r="B126" s="2" t="str">
        <f>"L-Verbinder für 3~ Aufbauschiene ONETRACK, Schutzleiter außen, weiß"</f>
        <v>L-Verbinder für 3~ Aufbauschiene ONETRACK, Schutzleiter außen, weiß</v>
      </c>
      <c r="C126" s="16">
        <v>50</v>
      </c>
      <c r="D126" s="11">
        <v>59</v>
      </c>
      <c r="E126" s="7">
        <f t="shared" si="3"/>
        <v>1</v>
      </c>
      <c r="F126" s="22" t="str">
        <f>IF(ISERROR(VLOOKUP($A126,#REF!,3,0)),"x",VLOOKUP($A126,#REF!,3,FALSE))</f>
        <v>x</v>
      </c>
      <c r="G126" s="9">
        <f t="shared" si="4"/>
        <v>1</v>
      </c>
      <c r="H126" s="13">
        <f t="shared" si="5"/>
        <v>50</v>
      </c>
    </row>
    <row r="127" spans="1:8" x14ac:dyDescent="0.25">
      <c r="A127" s="2" t="str">
        <f>"575212092"</f>
        <v>575212092</v>
      </c>
      <c r="B127" s="2" t="str">
        <f>"L-Verbinder für 3~ Aufbauschiene ONETRACK, Schutzleiter außen, schwarz "</f>
        <v xml:space="preserve">L-Verbinder für 3~ Aufbauschiene ONETRACK, Schutzleiter außen, schwarz </v>
      </c>
      <c r="C127" s="16">
        <v>50</v>
      </c>
      <c r="D127" s="11">
        <v>59</v>
      </c>
      <c r="E127" s="7">
        <f t="shared" si="3"/>
        <v>1</v>
      </c>
      <c r="F127" s="22" t="str">
        <f>IF(ISERROR(VLOOKUP($A127,#REF!,3,0)),"x",VLOOKUP($A127,#REF!,3,FALSE))</f>
        <v>x</v>
      </c>
      <c r="G127" s="9">
        <f t="shared" si="4"/>
        <v>1</v>
      </c>
      <c r="H127" s="13">
        <f t="shared" si="5"/>
        <v>50</v>
      </c>
    </row>
    <row r="128" spans="1:8" x14ac:dyDescent="0.25">
      <c r="A128" s="2" t="str">
        <f>"575212098"</f>
        <v>575212098</v>
      </c>
      <c r="B128" s="2" t="str">
        <f>"L-Verbinder für 3~ Aufbauschiene ONETRACK, Schutzleiter außen, grau "</f>
        <v xml:space="preserve">L-Verbinder für 3~ Aufbauschiene ONETRACK, Schutzleiter außen, grau </v>
      </c>
      <c r="C128" s="16">
        <v>47.5</v>
      </c>
      <c r="D128" s="11">
        <v>59</v>
      </c>
      <c r="E128" s="7">
        <f t="shared" si="3"/>
        <v>1</v>
      </c>
      <c r="F128" s="22" t="str">
        <f>IF(ISERROR(VLOOKUP($A128,#REF!,3,0)),"x",VLOOKUP($A128,#REF!,3,FALSE))</f>
        <v>x</v>
      </c>
      <c r="G128" s="9">
        <f t="shared" si="4"/>
        <v>1</v>
      </c>
      <c r="H128" s="13">
        <f t="shared" si="5"/>
        <v>47.5</v>
      </c>
    </row>
    <row r="129" spans="1:8" x14ac:dyDescent="0.25">
      <c r="A129" s="2" t="str">
        <f>"575212101"</f>
        <v>575212101</v>
      </c>
      <c r="B129" s="2" t="str">
        <f>"L-Verbinder für 3~ Aufbauschiene ONETRACK, Schutzleiter innen, weiß"</f>
        <v>L-Verbinder für 3~ Aufbauschiene ONETRACK, Schutzleiter innen, weiß</v>
      </c>
      <c r="C129" s="16">
        <v>47.5</v>
      </c>
      <c r="D129" s="11">
        <v>59</v>
      </c>
      <c r="E129" s="7">
        <f t="shared" si="3"/>
        <v>1</v>
      </c>
      <c r="F129" s="22" t="str">
        <f>IF(ISERROR(VLOOKUP($A129,#REF!,3,0)),"x",VLOOKUP($A129,#REF!,3,FALSE))</f>
        <v>x</v>
      </c>
      <c r="G129" s="9">
        <f t="shared" si="4"/>
        <v>1</v>
      </c>
      <c r="H129" s="13">
        <f t="shared" si="5"/>
        <v>47.5</v>
      </c>
    </row>
    <row r="130" spans="1:8" x14ac:dyDescent="0.25">
      <c r="A130" s="2" t="str">
        <f>"575212102"</f>
        <v>575212102</v>
      </c>
      <c r="B130" s="2" t="str">
        <f>"L-Verbinder für 3~ Aufbauschiene ONETRACK, Schutzleiter innen, schwarz"</f>
        <v>L-Verbinder für 3~ Aufbauschiene ONETRACK, Schutzleiter innen, schwarz</v>
      </c>
      <c r="C130" s="16">
        <v>47.5</v>
      </c>
      <c r="D130" s="11">
        <v>59</v>
      </c>
      <c r="E130" s="7">
        <f t="shared" si="3"/>
        <v>1</v>
      </c>
      <c r="F130" s="22" t="str">
        <f>IF(ISERROR(VLOOKUP($A130,#REF!,3,0)),"x",VLOOKUP($A130,#REF!,3,FALSE))</f>
        <v>x</v>
      </c>
      <c r="G130" s="9">
        <f t="shared" si="4"/>
        <v>1</v>
      </c>
      <c r="H130" s="13">
        <f t="shared" si="5"/>
        <v>47.5</v>
      </c>
    </row>
    <row r="131" spans="1:8" x14ac:dyDescent="0.25">
      <c r="A131" s="2" t="str">
        <f>"575212108"</f>
        <v>575212108</v>
      </c>
      <c r="B131" s="2" t="str">
        <f>"L-Verbinder für 3~ Aufbauschiene ONETRACK, Schutzleiter innen, grau"</f>
        <v>L-Verbinder für 3~ Aufbauschiene ONETRACK, Schutzleiter innen, grau</v>
      </c>
      <c r="C131" s="16">
        <v>47.5</v>
      </c>
      <c r="D131" s="11">
        <v>59</v>
      </c>
      <c r="E131" s="7">
        <f t="shared" si="3"/>
        <v>1</v>
      </c>
      <c r="F131" s="22" t="str">
        <f>IF(ISERROR(VLOOKUP($A131,#REF!,3,0)),"x",VLOOKUP($A131,#REF!,3,FALSE))</f>
        <v>x</v>
      </c>
      <c r="G131" s="9">
        <f t="shared" si="4"/>
        <v>1</v>
      </c>
      <c r="H131" s="13">
        <f t="shared" si="5"/>
        <v>47.5</v>
      </c>
    </row>
    <row r="132" spans="1:8" x14ac:dyDescent="0.25">
      <c r="A132" s="2" t="str">
        <f>"575212111"</f>
        <v>575212111</v>
      </c>
      <c r="B132" s="2" t="str">
        <f>"FLEX-Verbinder für 3~ Aufbauschiene ONETRACK, weiß"</f>
        <v>FLEX-Verbinder für 3~ Aufbauschiene ONETRACK, weiß</v>
      </c>
      <c r="C132" s="16">
        <v>52.5</v>
      </c>
      <c r="D132" s="11">
        <v>59</v>
      </c>
      <c r="E132" s="7">
        <f t="shared" ref="E132:E195" si="6">G132</f>
        <v>1</v>
      </c>
      <c r="F132" s="22" t="str">
        <f>IF(ISERROR(VLOOKUP($A132,#REF!,3,0)),"x",VLOOKUP($A132,#REF!,3,FALSE))</f>
        <v>x</v>
      </c>
      <c r="G132" s="9">
        <f t="shared" ref="G132:G195" si="7">IF(C132&lt;F132,1,IF(C132&gt;F132,-1,0))</f>
        <v>1</v>
      </c>
      <c r="H132" s="13">
        <f t="shared" si="5"/>
        <v>52.5</v>
      </c>
    </row>
    <row r="133" spans="1:8" x14ac:dyDescent="0.25">
      <c r="A133" s="2" t="str">
        <f>"575212112"</f>
        <v>575212112</v>
      </c>
      <c r="B133" s="2" t="str">
        <f>"FLEX-Verbinder für 3~ Aufbauschiene ONETRACK, schwarz"</f>
        <v>FLEX-Verbinder für 3~ Aufbauschiene ONETRACK, schwarz</v>
      </c>
      <c r="C133" s="16">
        <v>52.5</v>
      </c>
      <c r="D133" s="11">
        <v>59</v>
      </c>
      <c r="E133" s="7">
        <f t="shared" si="6"/>
        <v>1</v>
      </c>
      <c r="F133" s="22" t="str">
        <f>IF(ISERROR(VLOOKUP($A133,#REF!,3,0)),"x",VLOOKUP($A133,#REF!,3,FALSE))</f>
        <v>x</v>
      </c>
      <c r="G133" s="9">
        <f t="shared" si="7"/>
        <v>1</v>
      </c>
      <c r="H133" s="13">
        <f t="shared" si="5"/>
        <v>52.5</v>
      </c>
    </row>
    <row r="134" spans="1:8" x14ac:dyDescent="0.25">
      <c r="A134" s="2" t="str">
        <f>"575212118"</f>
        <v>575212118</v>
      </c>
      <c r="B134" s="2" t="str">
        <f>"FLEX-Verbinder für 3~ Aufbauschiene ONETRACK, grau"</f>
        <v>FLEX-Verbinder für 3~ Aufbauschiene ONETRACK, grau</v>
      </c>
      <c r="C134" s="16">
        <v>52.5</v>
      </c>
      <c r="D134" s="11">
        <v>59</v>
      </c>
      <c r="E134" s="7">
        <f t="shared" si="6"/>
        <v>1</v>
      </c>
      <c r="F134" s="22" t="str">
        <f>IF(ISERROR(VLOOKUP($A134,#REF!,3,0)),"x",VLOOKUP($A134,#REF!,3,FALSE))</f>
        <v>x</v>
      </c>
      <c r="G134" s="9">
        <f t="shared" si="7"/>
        <v>1</v>
      </c>
      <c r="H134" s="13">
        <f t="shared" ref="H134:H197" si="8">IF(F134="x",C134,F134)</f>
        <v>52.5</v>
      </c>
    </row>
    <row r="135" spans="1:8" x14ac:dyDescent="0.25">
      <c r="A135" s="2" t="str">
        <f>"575212121"</f>
        <v>575212121</v>
      </c>
      <c r="B135" s="2" t="str">
        <f>"T-Verbinder für 3~ Aufbauschiene ONETRACK, Schutzl. innen rechts, weiß"</f>
        <v>T-Verbinder für 3~ Aufbauschiene ONETRACK, Schutzl. innen rechts, weiß</v>
      </c>
      <c r="C135" s="16">
        <v>70</v>
      </c>
      <c r="D135" s="11">
        <v>59</v>
      </c>
      <c r="E135" s="7">
        <f t="shared" si="6"/>
        <v>1</v>
      </c>
      <c r="F135" s="22" t="str">
        <f>IF(ISERROR(VLOOKUP($A135,#REF!,3,0)),"x",VLOOKUP($A135,#REF!,3,FALSE))</f>
        <v>x</v>
      </c>
      <c r="G135" s="9">
        <f t="shared" si="7"/>
        <v>1</v>
      </c>
      <c r="H135" s="13">
        <f t="shared" si="8"/>
        <v>70</v>
      </c>
    </row>
    <row r="136" spans="1:8" x14ac:dyDescent="0.25">
      <c r="A136" s="2" t="str">
        <f>"575212122"</f>
        <v>575212122</v>
      </c>
      <c r="B136" s="2" t="str">
        <f>"T-Verbinder für 3~ Aufbauschiene ONETRACK, Schutzl. innen rechts, schwarz"</f>
        <v>T-Verbinder für 3~ Aufbauschiene ONETRACK, Schutzl. innen rechts, schwarz</v>
      </c>
      <c r="C136" s="16">
        <v>75</v>
      </c>
      <c r="D136" s="11">
        <v>59</v>
      </c>
      <c r="E136" s="7">
        <f t="shared" si="6"/>
        <v>1</v>
      </c>
      <c r="F136" s="22" t="str">
        <f>IF(ISERROR(VLOOKUP($A136,#REF!,3,0)),"x",VLOOKUP($A136,#REF!,3,FALSE))</f>
        <v>x</v>
      </c>
      <c r="G136" s="9">
        <f t="shared" si="7"/>
        <v>1</v>
      </c>
      <c r="H136" s="13">
        <f t="shared" si="8"/>
        <v>75</v>
      </c>
    </row>
    <row r="137" spans="1:8" x14ac:dyDescent="0.25">
      <c r="A137" s="2" t="str">
        <f>"575212128"</f>
        <v>575212128</v>
      </c>
      <c r="B137" s="2" t="str">
        <f>"T-Verbinder für 3~ Aufbauschiene ONETRACK, Schutzl. innen rechts, grau"</f>
        <v>T-Verbinder für 3~ Aufbauschiene ONETRACK, Schutzl. innen rechts, grau</v>
      </c>
      <c r="C137" s="16">
        <v>70</v>
      </c>
      <c r="D137" s="11">
        <v>59</v>
      </c>
      <c r="E137" s="7">
        <f t="shared" si="6"/>
        <v>1</v>
      </c>
      <c r="F137" s="22" t="str">
        <f>IF(ISERROR(VLOOKUP($A137,#REF!,3,0)),"x",VLOOKUP($A137,#REF!,3,FALSE))</f>
        <v>x</v>
      </c>
      <c r="G137" s="9">
        <f t="shared" si="7"/>
        <v>1</v>
      </c>
      <c r="H137" s="13">
        <f t="shared" si="8"/>
        <v>70</v>
      </c>
    </row>
    <row r="138" spans="1:8" x14ac:dyDescent="0.25">
      <c r="A138" s="2" t="str">
        <f>"575212131"</f>
        <v>575212131</v>
      </c>
      <c r="B138" s="2" t="str">
        <f>"T-Verbinder für 3~ Aufbauschiene ONETRACK, Schutzl. innen links, weiß"</f>
        <v>T-Verbinder für 3~ Aufbauschiene ONETRACK, Schutzl. innen links, weiß</v>
      </c>
      <c r="C138" s="16">
        <v>70</v>
      </c>
      <c r="D138" s="11">
        <v>59</v>
      </c>
      <c r="E138" s="7">
        <f t="shared" si="6"/>
        <v>1</v>
      </c>
      <c r="F138" s="22" t="str">
        <f>IF(ISERROR(VLOOKUP($A138,#REF!,3,0)),"x",VLOOKUP($A138,#REF!,3,FALSE))</f>
        <v>x</v>
      </c>
      <c r="G138" s="9">
        <f t="shared" si="7"/>
        <v>1</v>
      </c>
      <c r="H138" s="13">
        <f t="shared" si="8"/>
        <v>70</v>
      </c>
    </row>
    <row r="139" spans="1:8" x14ac:dyDescent="0.25">
      <c r="A139" s="2" t="str">
        <f>"575212132"</f>
        <v>575212132</v>
      </c>
      <c r="B139" s="2" t="str">
        <f>"T-Verbinder für 3~ Aufbauschiene ONETRACK, Schutzl. innen links, schwarz"</f>
        <v>T-Verbinder für 3~ Aufbauschiene ONETRACK, Schutzl. innen links, schwarz</v>
      </c>
      <c r="C139" s="16">
        <v>75</v>
      </c>
      <c r="D139" s="11">
        <v>59</v>
      </c>
      <c r="E139" s="7">
        <f t="shared" si="6"/>
        <v>1</v>
      </c>
      <c r="F139" s="22" t="str">
        <f>IF(ISERROR(VLOOKUP($A139,#REF!,3,0)),"x",VLOOKUP($A139,#REF!,3,FALSE))</f>
        <v>x</v>
      </c>
      <c r="G139" s="9">
        <f t="shared" si="7"/>
        <v>1</v>
      </c>
      <c r="H139" s="13">
        <f t="shared" si="8"/>
        <v>75</v>
      </c>
    </row>
    <row r="140" spans="1:8" x14ac:dyDescent="0.25">
      <c r="A140" s="2" t="str">
        <f>"575212138"</f>
        <v>575212138</v>
      </c>
      <c r="B140" s="2" t="str">
        <f>"T-Verbinder für 3~ Aufbauschiene ONETRACK, Schutzl. innen links, grau"</f>
        <v>T-Verbinder für 3~ Aufbauschiene ONETRACK, Schutzl. innen links, grau</v>
      </c>
      <c r="C140" s="16">
        <v>70</v>
      </c>
      <c r="D140" s="11">
        <v>59</v>
      </c>
      <c r="E140" s="7">
        <f t="shared" si="6"/>
        <v>1</v>
      </c>
      <c r="F140" s="22" t="str">
        <f>IF(ISERROR(VLOOKUP($A140,#REF!,3,0)),"x",VLOOKUP($A140,#REF!,3,FALSE))</f>
        <v>x</v>
      </c>
      <c r="G140" s="9">
        <f t="shared" si="7"/>
        <v>1</v>
      </c>
      <c r="H140" s="13">
        <f t="shared" si="8"/>
        <v>70</v>
      </c>
    </row>
    <row r="141" spans="1:8" x14ac:dyDescent="0.25">
      <c r="A141" s="2" t="str">
        <f>"575212141"</f>
        <v>575212141</v>
      </c>
      <c r="B141" s="2" t="str">
        <f>"T-Verbinder für 3~ Aufbauschiene ONETRACK, Schutzl. außen rechts, weiß"</f>
        <v>T-Verbinder für 3~ Aufbauschiene ONETRACK, Schutzl. außen rechts, weiß</v>
      </c>
      <c r="C141" s="16">
        <v>70</v>
      </c>
      <c r="D141" s="11">
        <v>59</v>
      </c>
      <c r="E141" s="7">
        <f t="shared" si="6"/>
        <v>1</v>
      </c>
      <c r="F141" s="22" t="str">
        <f>IF(ISERROR(VLOOKUP($A141,#REF!,3,0)),"x",VLOOKUP($A141,#REF!,3,FALSE))</f>
        <v>x</v>
      </c>
      <c r="G141" s="9">
        <f t="shared" si="7"/>
        <v>1</v>
      </c>
      <c r="H141" s="13">
        <f t="shared" si="8"/>
        <v>70</v>
      </c>
    </row>
    <row r="142" spans="1:8" x14ac:dyDescent="0.25">
      <c r="A142" s="2" t="str">
        <f>"575212142"</f>
        <v>575212142</v>
      </c>
      <c r="B142" s="2" t="str">
        <f>"T-Verbinder für 3~ Aufbauschiene ONETRACK, Schutzl. außen rechts, schwarz"</f>
        <v>T-Verbinder für 3~ Aufbauschiene ONETRACK, Schutzl. außen rechts, schwarz</v>
      </c>
      <c r="C142" s="16">
        <v>75</v>
      </c>
      <c r="D142" s="11">
        <v>59</v>
      </c>
      <c r="E142" s="7">
        <f t="shared" si="6"/>
        <v>1</v>
      </c>
      <c r="F142" s="22" t="str">
        <f>IF(ISERROR(VLOOKUP($A142,#REF!,3,0)),"x",VLOOKUP($A142,#REF!,3,FALSE))</f>
        <v>x</v>
      </c>
      <c r="G142" s="9">
        <f t="shared" si="7"/>
        <v>1</v>
      </c>
      <c r="H142" s="13">
        <f t="shared" si="8"/>
        <v>75</v>
      </c>
    </row>
    <row r="143" spans="1:8" x14ac:dyDescent="0.25">
      <c r="A143" s="2" t="str">
        <f>"575212148"</f>
        <v>575212148</v>
      </c>
      <c r="B143" s="2" t="str">
        <f>"T-Verbinder für 3~ Aufbauschiene ONETRACK, Schutzl. außen rechts, grau"</f>
        <v>T-Verbinder für 3~ Aufbauschiene ONETRACK, Schutzl. außen rechts, grau</v>
      </c>
      <c r="C143" s="16">
        <v>70</v>
      </c>
      <c r="D143" s="11">
        <v>59</v>
      </c>
      <c r="E143" s="7">
        <f t="shared" si="6"/>
        <v>1</v>
      </c>
      <c r="F143" s="22" t="str">
        <f>IF(ISERROR(VLOOKUP($A143,#REF!,3,0)),"x",VLOOKUP($A143,#REF!,3,FALSE))</f>
        <v>x</v>
      </c>
      <c r="G143" s="9">
        <f t="shared" si="7"/>
        <v>1</v>
      </c>
      <c r="H143" s="13">
        <f t="shared" si="8"/>
        <v>70</v>
      </c>
    </row>
    <row r="144" spans="1:8" x14ac:dyDescent="0.25">
      <c r="A144" s="2" t="str">
        <f>"575212151"</f>
        <v>575212151</v>
      </c>
      <c r="B144" s="2" t="str">
        <f>"T-Verbinder für 3~ Aufbauschiene ONETRACK, Schutzl. außen links, weiß"</f>
        <v>T-Verbinder für 3~ Aufbauschiene ONETRACK, Schutzl. außen links, weiß</v>
      </c>
      <c r="C144" s="16">
        <v>70</v>
      </c>
      <c r="D144" s="11">
        <v>59</v>
      </c>
      <c r="E144" s="7">
        <f t="shared" si="6"/>
        <v>1</v>
      </c>
      <c r="F144" s="22" t="str">
        <f>IF(ISERROR(VLOOKUP($A144,#REF!,3,0)),"x",VLOOKUP($A144,#REF!,3,FALSE))</f>
        <v>x</v>
      </c>
      <c r="G144" s="9">
        <f t="shared" si="7"/>
        <v>1</v>
      </c>
      <c r="H144" s="13">
        <f t="shared" si="8"/>
        <v>70</v>
      </c>
    </row>
    <row r="145" spans="1:8" x14ac:dyDescent="0.25">
      <c r="A145" s="2" t="str">
        <f>"575212152"</f>
        <v>575212152</v>
      </c>
      <c r="B145" s="2" t="str">
        <f>"T-Verbinder für 3~ Aufbauschiene ONETRACK, Schutzl. außen links, schwarz"</f>
        <v>T-Verbinder für 3~ Aufbauschiene ONETRACK, Schutzl. außen links, schwarz</v>
      </c>
      <c r="C145" s="16">
        <v>70</v>
      </c>
      <c r="D145" s="11">
        <v>59</v>
      </c>
      <c r="E145" s="7">
        <f t="shared" si="6"/>
        <v>1</v>
      </c>
      <c r="F145" s="22" t="str">
        <f>IF(ISERROR(VLOOKUP($A145,#REF!,3,0)),"x",VLOOKUP($A145,#REF!,3,FALSE))</f>
        <v>x</v>
      </c>
      <c r="G145" s="9">
        <f t="shared" si="7"/>
        <v>1</v>
      </c>
      <c r="H145" s="13">
        <f t="shared" si="8"/>
        <v>70</v>
      </c>
    </row>
    <row r="146" spans="1:8" x14ac:dyDescent="0.25">
      <c r="A146" s="2" t="str">
        <f>"575212158"</f>
        <v>575212158</v>
      </c>
      <c r="B146" s="2" t="str">
        <f>"T-Verbinder für 3~ Aufbauschiene ONETRACK, Schutzl. außen links, grau"</f>
        <v>T-Verbinder für 3~ Aufbauschiene ONETRACK, Schutzl. außen links, grau</v>
      </c>
      <c r="C146" s="16">
        <v>70</v>
      </c>
      <c r="D146" s="11">
        <v>59</v>
      </c>
      <c r="E146" s="7">
        <f t="shared" si="6"/>
        <v>1</v>
      </c>
      <c r="F146" s="22" t="str">
        <f>IF(ISERROR(VLOOKUP($A146,#REF!,3,0)),"x",VLOOKUP($A146,#REF!,3,FALSE))</f>
        <v>x</v>
      </c>
      <c r="G146" s="9">
        <f t="shared" si="7"/>
        <v>1</v>
      </c>
      <c r="H146" s="13">
        <f t="shared" si="8"/>
        <v>70</v>
      </c>
    </row>
    <row r="147" spans="1:8" x14ac:dyDescent="0.25">
      <c r="A147" s="2" t="str">
        <f>"575212161"</f>
        <v>575212161</v>
      </c>
      <c r="B147" s="2" t="str">
        <f>"X-Verbinder für 3~ Aufbauschiene ONETRACK, weiß"</f>
        <v>X-Verbinder für 3~ Aufbauschiene ONETRACK, weiß</v>
      </c>
      <c r="C147" s="16">
        <v>77.5</v>
      </c>
      <c r="D147" s="11">
        <v>59</v>
      </c>
      <c r="E147" s="7">
        <f t="shared" si="6"/>
        <v>1</v>
      </c>
      <c r="F147" s="22" t="str">
        <f>IF(ISERROR(VLOOKUP($A147,#REF!,3,0)),"x",VLOOKUP($A147,#REF!,3,FALSE))</f>
        <v>x</v>
      </c>
      <c r="G147" s="9">
        <f t="shared" si="7"/>
        <v>1</v>
      </c>
      <c r="H147" s="13">
        <f t="shared" si="8"/>
        <v>77.5</v>
      </c>
    </row>
    <row r="148" spans="1:8" x14ac:dyDescent="0.25">
      <c r="A148" s="2" t="str">
        <f>"575212162"</f>
        <v>575212162</v>
      </c>
      <c r="B148" s="2" t="str">
        <f>"X-Verbinder für 3~ Aufbauschiene ONETRACK, schwarz "</f>
        <v xml:space="preserve">X-Verbinder für 3~ Aufbauschiene ONETRACK, schwarz </v>
      </c>
      <c r="C148" s="16">
        <v>82.5</v>
      </c>
      <c r="D148" s="11">
        <v>59</v>
      </c>
      <c r="E148" s="7">
        <f t="shared" si="6"/>
        <v>1</v>
      </c>
      <c r="F148" s="22" t="str">
        <f>IF(ISERROR(VLOOKUP($A148,#REF!,3,0)),"x",VLOOKUP($A148,#REF!,3,FALSE))</f>
        <v>x</v>
      </c>
      <c r="G148" s="9">
        <f t="shared" si="7"/>
        <v>1</v>
      </c>
      <c r="H148" s="13">
        <f t="shared" si="8"/>
        <v>82.5</v>
      </c>
    </row>
    <row r="149" spans="1:8" x14ac:dyDescent="0.25">
      <c r="A149" s="2" t="str">
        <f>"575212168"</f>
        <v>575212168</v>
      </c>
      <c r="B149" s="2" t="str">
        <f>"X-Verbinder für 3~ Aufbauschiene ONETRACK, grau"</f>
        <v>X-Verbinder für 3~ Aufbauschiene ONETRACK, grau</v>
      </c>
      <c r="C149" s="16">
        <v>77.5</v>
      </c>
      <c r="D149" s="11">
        <v>59</v>
      </c>
      <c r="E149" s="7">
        <f t="shared" si="6"/>
        <v>1</v>
      </c>
      <c r="F149" s="22" t="str">
        <f>IF(ISERROR(VLOOKUP($A149,#REF!,3,0)),"x",VLOOKUP($A149,#REF!,3,FALSE))</f>
        <v>x</v>
      </c>
      <c r="G149" s="9">
        <f t="shared" si="7"/>
        <v>1</v>
      </c>
      <c r="H149" s="13">
        <f t="shared" si="8"/>
        <v>77.5</v>
      </c>
    </row>
    <row r="150" spans="1:8" x14ac:dyDescent="0.25">
      <c r="A150" s="2" t="str">
        <f>"575232011"</f>
        <v>575232011</v>
      </c>
      <c r="B150" s="2" t="str">
        <f>"Einspeiser f. 3~ Einbauschiene ONETRACK, SL rechts, weiß"</f>
        <v>Einspeiser f. 3~ Einbauschiene ONETRACK, SL rechts, weiß</v>
      </c>
      <c r="C150" s="16">
        <v>37.5</v>
      </c>
      <c r="D150" s="11">
        <v>65</v>
      </c>
      <c r="E150" s="7">
        <f t="shared" si="6"/>
        <v>1</v>
      </c>
      <c r="F150" s="22" t="str">
        <f>IF(ISERROR(VLOOKUP($A150,#REF!,3,0)),"x",VLOOKUP($A150,#REF!,3,FALSE))</f>
        <v>x</v>
      </c>
      <c r="G150" s="9">
        <f t="shared" si="7"/>
        <v>1</v>
      </c>
      <c r="H150" s="13">
        <f t="shared" si="8"/>
        <v>37.5</v>
      </c>
    </row>
    <row r="151" spans="1:8" x14ac:dyDescent="0.25">
      <c r="A151" s="2" t="str">
        <f>"575232012"</f>
        <v>575232012</v>
      </c>
      <c r="B151" s="2" t="str">
        <f>"Einspeiser f. 3~ Einbauschiene ONETRACK, SL rechts, schwarz"</f>
        <v>Einspeiser f. 3~ Einbauschiene ONETRACK, SL rechts, schwarz</v>
      </c>
      <c r="C151" s="16">
        <v>37.5</v>
      </c>
      <c r="D151" s="11">
        <v>65</v>
      </c>
      <c r="E151" s="7">
        <f t="shared" si="6"/>
        <v>1</v>
      </c>
      <c r="F151" s="22" t="str">
        <f>IF(ISERROR(VLOOKUP($A151,#REF!,3,0)),"x",VLOOKUP($A151,#REF!,3,FALSE))</f>
        <v>x</v>
      </c>
      <c r="G151" s="9">
        <f t="shared" si="7"/>
        <v>1</v>
      </c>
      <c r="H151" s="13">
        <f t="shared" si="8"/>
        <v>37.5</v>
      </c>
    </row>
    <row r="152" spans="1:8" x14ac:dyDescent="0.25">
      <c r="A152" s="2" t="str">
        <f>"575232021"</f>
        <v>575232021</v>
      </c>
      <c r="B152" s="2" t="str">
        <f>"Einspeiser f. 3~ Einbauschiene ONETRACK, SL links, weiß"</f>
        <v>Einspeiser f. 3~ Einbauschiene ONETRACK, SL links, weiß</v>
      </c>
      <c r="C152" s="16">
        <v>37.5</v>
      </c>
      <c r="D152" s="11">
        <v>65</v>
      </c>
      <c r="E152" s="7">
        <f t="shared" si="6"/>
        <v>1</v>
      </c>
      <c r="F152" s="22" t="str">
        <f>IF(ISERROR(VLOOKUP($A152,#REF!,3,0)),"x",VLOOKUP($A152,#REF!,3,FALSE))</f>
        <v>x</v>
      </c>
      <c r="G152" s="9">
        <f t="shared" si="7"/>
        <v>1</v>
      </c>
      <c r="H152" s="13">
        <f t="shared" si="8"/>
        <v>37.5</v>
      </c>
    </row>
    <row r="153" spans="1:8" x14ac:dyDescent="0.25">
      <c r="A153" s="2" t="str">
        <f>"575232022"</f>
        <v>575232022</v>
      </c>
      <c r="B153" s="2" t="str">
        <f>"Einspeiser f. 3~ Einbauschiene ONETRACK, SL links, schwarz"</f>
        <v>Einspeiser f. 3~ Einbauschiene ONETRACK, SL links, schwarz</v>
      </c>
      <c r="C153" s="16">
        <v>37.5</v>
      </c>
      <c r="D153" s="11">
        <v>65</v>
      </c>
      <c r="E153" s="7">
        <f t="shared" si="6"/>
        <v>1</v>
      </c>
      <c r="F153" s="22" t="str">
        <f>IF(ISERROR(VLOOKUP($A153,#REF!,3,0)),"x",VLOOKUP($A153,#REF!,3,FALSE))</f>
        <v>x</v>
      </c>
      <c r="G153" s="9">
        <f t="shared" si="7"/>
        <v>1</v>
      </c>
      <c r="H153" s="13">
        <f t="shared" si="8"/>
        <v>37.5</v>
      </c>
    </row>
    <row r="154" spans="1:8" x14ac:dyDescent="0.25">
      <c r="A154" s="2" t="str">
        <f>"575232061"</f>
        <v>575232061</v>
      </c>
      <c r="B154" s="2" t="str">
        <f>"Längsverbinder f. 3~ ONETRACK Einbau, mit Einspeisemöglichkeit, weiß"</f>
        <v>Längsverbinder f. 3~ ONETRACK Einbau, mit Einspeisemöglichkeit, weiß</v>
      </c>
      <c r="C154" s="16">
        <v>37.5</v>
      </c>
      <c r="D154" s="11">
        <v>65</v>
      </c>
      <c r="E154" s="7">
        <f t="shared" si="6"/>
        <v>1</v>
      </c>
      <c r="F154" s="22" t="str">
        <f>IF(ISERROR(VLOOKUP($A154,#REF!,3,0)),"x",VLOOKUP($A154,#REF!,3,FALSE))</f>
        <v>x</v>
      </c>
      <c r="G154" s="9">
        <f t="shared" si="7"/>
        <v>1</v>
      </c>
      <c r="H154" s="13">
        <f t="shared" si="8"/>
        <v>37.5</v>
      </c>
    </row>
    <row r="155" spans="1:8" x14ac:dyDescent="0.25">
      <c r="A155" s="2" t="str">
        <f>"575232062"</f>
        <v>575232062</v>
      </c>
      <c r="B155" s="2" t="str">
        <f>"Längsverbinder f. 3~ ONETRACK Einbau, mit Einspeisemöglichkeit, schwarz"</f>
        <v>Längsverbinder f. 3~ ONETRACK Einbau, mit Einspeisemöglichkeit, schwarz</v>
      </c>
      <c r="C155" s="16">
        <v>37.5</v>
      </c>
      <c r="D155" s="11">
        <v>65</v>
      </c>
      <c r="E155" s="7">
        <f t="shared" si="6"/>
        <v>1</v>
      </c>
      <c r="F155" s="22" t="str">
        <f>IF(ISERROR(VLOOKUP($A155,#REF!,3,0)),"x",VLOOKUP($A155,#REF!,3,FALSE))</f>
        <v>x</v>
      </c>
      <c r="G155" s="9">
        <f t="shared" si="7"/>
        <v>1</v>
      </c>
      <c r="H155" s="13">
        <f t="shared" si="8"/>
        <v>37.5</v>
      </c>
    </row>
    <row r="156" spans="1:8" x14ac:dyDescent="0.25">
      <c r="A156" s="2" t="str">
        <f>"575232081"</f>
        <v>575232081</v>
      </c>
      <c r="B156" s="2" t="str">
        <f>"I-Verbinder f. 3~ ONETRACK Einbau, mit Einspeisemöglichkeit, weiß"</f>
        <v>I-Verbinder f. 3~ ONETRACK Einbau, mit Einspeisemöglichkeit, weiß</v>
      </c>
      <c r="C156" s="16">
        <v>100</v>
      </c>
      <c r="D156" s="11">
        <v>65</v>
      </c>
      <c r="E156" s="7">
        <f t="shared" si="6"/>
        <v>1</v>
      </c>
      <c r="F156" s="22" t="str">
        <f>IF(ISERROR(VLOOKUP($A156,#REF!,3,0)),"x",VLOOKUP($A156,#REF!,3,FALSE))</f>
        <v>x</v>
      </c>
      <c r="G156" s="9">
        <f t="shared" si="7"/>
        <v>1</v>
      </c>
      <c r="H156" s="13">
        <f t="shared" si="8"/>
        <v>100</v>
      </c>
    </row>
    <row r="157" spans="1:8" x14ac:dyDescent="0.25">
      <c r="A157" s="2" t="str">
        <f>"575232082"</f>
        <v>575232082</v>
      </c>
      <c r="B157" s="2" t="str">
        <f>"I-Verbinder f. 3~ ONETRACK Einbau, mit Einspeisemöglichkeit, schwarz"</f>
        <v>I-Verbinder f. 3~ ONETRACK Einbau, mit Einspeisemöglichkeit, schwarz</v>
      </c>
      <c r="C157" s="16">
        <v>100</v>
      </c>
      <c r="D157" s="11">
        <v>65</v>
      </c>
      <c r="E157" s="7">
        <f t="shared" si="6"/>
        <v>1</v>
      </c>
      <c r="F157" s="22" t="str">
        <f>IF(ISERROR(VLOOKUP($A157,#REF!,3,0)),"x",VLOOKUP($A157,#REF!,3,FALSE))</f>
        <v>x</v>
      </c>
      <c r="G157" s="9">
        <f t="shared" si="7"/>
        <v>1</v>
      </c>
      <c r="H157" s="13">
        <f t="shared" si="8"/>
        <v>100</v>
      </c>
    </row>
    <row r="158" spans="1:8" x14ac:dyDescent="0.25">
      <c r="A158" s="2" t="str">
        <f>"575232091"</f>
        <v>575232091</v>
      </c>
      <c r="B158" s="2" t="str">
        <f>"L-Verbinder für 3~ Einbauschiene ONETRACK, Schutzleiter außen, weiß"</f>
        <v>L-Verbinder für 3~ Einbauschiene ONETRACK, Schutzleiter außen, weiß</v>
      </c>
      <c r="C158" s="16">
        <v>100</v>
      </c>
      <c r="D158" s="11">
        <v>65</v>
      </c>
      <c r="E158" s="7">
        <f t="shared" si="6"/>
        <v>1</v>
      </c>
      <c r="F158" s="22" t="str">
        <f>IF(ISERROR(VLOOKUP($A158,#REF!,3,0)),"x",VLOOKUP($A158,#REF!,3,FALSE))</f>
        <v>x</v>
      </c>
      <c r="G158" s="9">
        <f t="shared" si="7"/>
        <v>1</v>
      </c>
      <c r="H158" s="13">
        <f t="shared" si="8"/>
        <v>100</v>
      </c>
    </row>
    <row r="159" spans="1:8" x14ac:dyDescent="0.25">
      <c r="A159" s="2" t="str">
        <f>"575232092"</f>
        <v>575232092</v>
      </c>
      <c r="B159" s="2" t="str">
        <f>"L-Verbinder für 3~ Einbauschiene ONETRACK, Schutzleiter außen, schwarz"</f>
        <v>L-Verbinder für 3~ Einbauschiene ONETRACK, Schutzleiter außen, schwarz</v>
      </c>
      <c r="C159" s="16">
        <v>100</v>
      </c>
      <c r="D159" s="11">
        <v>65</v>
      </c>
      <c r="E159" s="7">
        <f t="shared" si="6"/>
        <v>1</v>
      </c>
      <c r="F159" s="22" t="str">
        <f>IF(ISERROR(VLOOKUP($A159,#REF!,3,0)),"x",VLOOKUP($A159,#REF!,3,FALSE))</f>
        <v>x</v>
      </c>
      <c r="G159" s="9">
        <f t="shared" si="7"/>
        <v>1</v>
      </c>
      <c r="H159" s="13">
        <f t="shared" si="8"/>
        <v>100</v>
      </c>
    </row>
    <row r="160" spans="1:8" x14ac:dyDescent="0.25">
      <c r="A160" s="2" t="str">
        <f>"575232101"</f>
        <v>575232101</v>
      </c>
      <c r="B160" s="2" t="str">
        <f>"L-Verbinder für 3~ Einbauschiene ONETRACK, Schutzleiter innen, weiß"</f>
        <v>L-Verbinder für 3~ Einbauschiene ONETRACK, Schutzleiter innen, weiß</v>
      </c>
      <c r="C160" s="16">
        <v>100</v>
      </c>
      <c r="D160" s="11">
        <v>65</v>
      </c>
      <c r="E160" s="7">
        <f t="shared" si="6"/>
        <v>1</v>
      </c>
      <c r="F160" s="22" t="str">
        <f>IF(ISERROR(VLOOKUP($A160,#REF!,3,0)),"x",VLOOKUP($A160,#REF!,3,FALSE))</f>
        <v>x</v>
      </c>
      <c r="G160" s="9">
        <f t="shared" si="7"/>
        <v>1</v>
      </c>
      <c r="H160" s="13">
        <f t="shared" si="8"/>
        <v>100</v>
      </c>
    </row>
    <row r="161" spans="1:8" x14ac:dyDescent="0.25">
      <c r="A161" s="2" t="str">
        <f>"575232102"</f>
        <v>575232102</v>
      </c>
      <c r="B161" s="2" t="str">
        <f>"L-Verbinder für 3~ Einbauschiene ONETRACK, Schutzleiter innen, schwarz"</f>
        <v>L-Verbinder für 3~ Einbauschiene ONETRACK, Schutzleiter innen, schwarz</v>
      </c>
      <c r="C161" s="16">
        <v>100</v>
      </c>
      <c r="D161" s="11">
        <v>65</v>
      </c>
      <c r="E161" s="7">
        <f t="shared" si="6"/>
        <v>1</v>
      </c>
      <c r="F161" s="22" t="str">
        <f>IF(ISERROR(VLOOKUP($A161,#REF!,3,0)),"x",VLOOKUP($A161,#REF!,3,FALSE))</f>
        <v>x</v>
      </c>
      <c r="G161" s="9">
        <f t="shared" si="7"/>
        <v>1</v>
      </c>
      <c r="H161" s="13">
        <f t="shared" si="8"/>
        <v>100</v>
      </c>
    </row>
    <row r="162" spans="1:8" x14ac:dyDescent="0.25">
      <c r="A162" s="2" t="str">
        <f>"575232121"</f>
        <v>575232121</v>
      </c>
      <c r="B162" s="2" t="str">
        <f>"T-Verbinder für 3~ Einbauschiene ONETRACK, Schutzl. innen rechts, weiß"</f>
        <v>T-Verbinder für 3~ Einbauschiene ONETRACK, Schutzl. innen rechts, weiß</v>
      </c>
      <c r="C162" s="16">
        <v>127.5</v>
      </c>
      <c r="D162" s="11">
        <v>65</v>
      </c>
      <c r="E162" s="7">
        <f t="shared" si="6"/>
        <v>1</v>
      </c>
      <c r="F162" s="22" t="str">
        <f>IF(ISERROR(VLOOKUP($A162,#REF!,3,0)),"x",VLOOKUP($A162,#REF!,3,FALSE))</f>
        <v>x</v>
      </c>
      <c r="G162" s="9">
        <f t="shared" si="7"/>
        <v>1</v>
      </c>
      <c r="H162" s="13">
        <f t="shared" si="8"/>
        <v>127.5</v>
      </c>
    </row>
    <row r="163" spans="1:8" x14ac:dyDescent="0.25">
      <c r="A163" s="2" t="str">
        <f>"575232122"</f>
        <v>575232122</v>
      </c>
      <c r="B163" s="2" t="str">
        <f>"T-Verbinder für 3~ Einbauschiene ONETRACK, Schutzl. innen rechts, schwarz"</f>
        <v>T-Verbinder für 3~ Einbauschiene ONETRACK, Schutzl. innen rechts, schwarz</v>
      </c>
      <c r="C163" s="16">
        <v>127.5</v>
      </c>
      <c r="D163" s="11">
        <v>65</v>
      </c>
      <c r="E163" s="7">
        <f t="shared" si="6"/>
        <v>1</v>
      </c>
      <c r="F163" s="22" t="str">
        <f>IF(ISERROR(VLOOKUP($A163,#REF!,3,0)),"x",VLOOKUP($A163,#REF!,3,FALSE))</f>
        <v>x</v>
      </c>
      <c r="G163" s="9">
        <f t="shared" si="7"/>
        <v>1</v>
      </c>
      <c r="H163" s="13">
        <f t="shared" si="8"/>
        <v>127.5</v>
      </c>
    </row>
    <row r="164" spans="1:8" x14ac:dyDescent="0.25">
      <c r="A164" s="2" t="str">
        <f>"575232131"</f>
        <v>575232131</v>
      </c>
      <c r="B164" s="2" t="str">
        <f>"T-Verbinder für 3~ Einbauschiene ONETRACK, Schutzl. innen links, weiß"</f>
        <v>T-Verbinder für 3~ Einbauschiene ONETRACK, Schutzl. innen links, weiß</v>
      </c>
      <c r="C164" s="16">
        <v>127.5</v>
      </c>
      <c r="D164" s="11">
        <v>65</v>
      </c>
      <c r="E164" s="7">
        <f t="shared" si="6"/>
        <v>1</v>
      </c>
      <c r="F164" s="22" t="str">
        <f>IF(ISERROR(VLOOKUP($A164,#REF!,3,0)),"x",VLOOKUP($A164,#REF!,3,FALSE))</f>
        <v>x</v>
      </c>
      <c r="G164" s="9">
        <f t="shared" si="7"/>
        <v>1</v>
      </c>
      <c r="H164" s="13">
        <f t="shared" si="8"/>
        <v>127.5</v>
      </c>
    </row>
    <row r="165" spans="1:8" x14ac:dyDescent="0.25">
      <c r="A165" s="2" t="str">
        <f>"575232132"</f>
        <v>575232132</v>
      </c>
      <c r="B165" s="2" t="str">
        <f>"T-Verbinder für 3~ Einbauschiene ONETRACK, Schutzl. innen links, schwarz"</f>
        <v>T-Verbinder für 3~ Einbauschiene ONETRACK, Schutzl. innen links, schwarz</v>
      </c>
      <c r="C165" s="16">
        <v>127.5</v>
      </c>
      <c r="D165" s="11">
        <v>65</v>
      </c>
      <c r="E165" s="7">
        <f t="shared" si="6"/>
        <v>1</v>
      </c>
      <c r="F165" s="22" t="str">
        <f>IF(ISERROR(VLOOKUP($A165,#REF!,3,0)),"x",VLOOKUP($A165,#REF!,3,FALSE))</f>
        <v>x</v>
      </c>
      <c r="G165" s="9">
        <f t="shared" si="7"/>
        <v>1</v>
      </c>
      <c r="H165" s="13">
        <f t="shared" si="8"/>
        <v>127.5</v>
      </c>
    </row>
    <row r="166" spans="1:8" x14ac:dyDescent="0.25">
      <c r="A166" s="2" t="str">
        <f>"575232141"</f>
        <v>575232141</v>
      </c>
      <c r="B166" s="2" t="str">
        <f>"T-Verbinder für 3~ Einbauschiene ONETRACK, Schutzl. außen rechts, weiß"</f>
        <v>T-Verbinder für 3~ Einbauschiene ONETRACK, Schutzl. außen rechts, weiß</v>
      </c>
      <c r="C166" s="16">
        <v>127.5</v>
      </c>
      <c r="D166" s="11">
        <v>65</v>
      </c>
      <c r="E166" s="7">
        <f t="shared" si="6"/>
        <v>1</v>
      </c>
      <c r="F166" s="22" t="str">
        <f>IF(ISERROR(VLOOKUP($A166,#REF!,3,0)),"x",VLOOKUP($A166,#REF!,3,FALSE))</f>
        <v>x</v>
      </c>
      <c r="G166" s="9">
        <f t="shared" si="7"/>
        <v>1</v>
      </c>
      <c r="H166" s="13">
        <f t="shared" si="8"/>
        <v>127.5</v>
      </c>
    </row>
    <row r="167" spans="1:8" x14ac:dyDescent="0.25">
      <c r="A167" s="2" t="str">
        <f>"575232142"</f>
        <v>575232142</v>
      </c>
      <c r="B167" s="2" t="str">
        <f>"T-Verbinder für 3~ Einbauschiene ONETRACK, Schutzl. außen rechts, schwarz"</f>
        <v>T-Verbinder für 3~ Einbauschiene ONETRACK, Schutzl. außen rechts, schwarz</v>
      </c>
      <c r="C167" s="16">
        <v>127.5</v>
      </c>
      <c r="D167" s="11">
        <v>65</v>
      </c>
      <c r="E167" s="7">
        <f t="shared" si="6"/>
        <v>1</v>
      </c>
      <c r="F167" s="22" t="str">
        <f>IF(ISERROR(VLOOKUP($A167,#REF!,3,0)),"x",VLOOKUP($A167,#REF!,3,FALSE))</f>
        <v>x</v>
      </c>
      <c r="G167" s="9">
        <f t="shared" si="7"/>
        <v>1</v>
      </c>
      <c r="H167" s="13">
        <f t="shared" si="8"/>
        <v>127.5</v>
      </c>
    </row>
    <row r="168" spans="1:8" x14ac:dyDescent="0.25">
      <c r="A168" s="2" t="str">
        <f>"575232151"</f>
        <v>575232151</v>
      </c>
      <c r="B168" s="2" t="str">
        <f>"T-Verbinder für 3~ Einbauschiene ONETRACK, Schutzl. außen links, weiß"</f>
        <v>T-Verbinder für 3~ Einbauschiene ONETRACK, Schutzl. außen links, weiß</v>
      </c>
      <c r="C168" s="16">
        <v>75</v>
      </c>
      <c r="D168" s="11">
        <v>65</v>
      </c>
      <c r="E168" s="7">
        <f t="shared" si="6"/>
        <v>1</v>
      </c>
      <c r="F168" s="22" t="str">
        <f>IF(ISERROR(VLOOKUP($A168,#REF!,3,0)),"x",VLOOKUP($A168,#REF!,3,FALSE))</f>
        <v>x</v>
      </c>
      <c r="G168" s="9">
        <f t="shared" si="7"/>
        <v>1</v>
      </c>
      <c r="H168" s="13">
        <f t="shared" si="8"/>
        <v>75</v>
      </c>
    </row>
    <row r="169" spans="1:8" x14ac:dyDescent="0.25">
      <c r="A169" s="2" t="str">
        <f>"575232152"</f>
        <v>575232152</v>
      </c>
      <c r="B169" s="2" t="str">
        <f>"T-Verbinder für 3~ Einbauschiene ONETRACK, Schutzl. außen links, schwarz"</f>
        <v>T-Verbinder für 3~ Einbauschiene ONETRACK, Schutzl. außen links, schwarz</v>
      </c>
      <c r="C169" s="16">
        <v>75</v>
      </c>
      <c r="D169" s="11">
        <v>65</v>
      </c>
      <c r="E169" s="7">
        <f t="shared" si="6"/>
        <v>1</v>
      </c>
      <c r="F169" s="22" t="str">
        <f>IF(ISERROR(VLOOKUP($A169,#REF!,3,0)),"x",VLOOKUP($A169,#REF!,3,FALSE))</f>
        <v>x</v>
      </c>
      <c r="G169" s="9">
        <f t="shared" si="7"/>
        <v>1</v>
      </c>
      <c r="H169" s="13">
        <f t="shared" si="8"/>
        <v>75</v>
      </c>
    </row>
    <row r="170" spans="1:8" x14ac:dyDescent="0.25">
      <c r="A170" s="2" t="str">
        <f>"575232161"</f>
        <v>575232161</v>
      </c>
      <c r="B170" s="2" t="str">
        <f>"X-Verbinder für 3~ Einbauschiene ONETRACK, weiß"</f>
        <v>X-Verbinder für 3~ Einbauschiene ONETRACK, weiß</v>
      </c>
      <c r="C170" s="16">
        <v>147.5</v>
      </c>
      <c r="D170" s="11">
        <v>65</v>
      </c>
      <c r="E170" s="7">
        <f t="shared" si="6"/>
        <v>1</v>
      </c>
      <c r="F170" s="22" t="str">
        <f>IF(ISERROR(VLOOKUP($A170,#REF!,3,0)),"x",VLOOKUP($A170,#REF!,3,FALSE))</f>
        <v>x</v>
      </c>
      <c r="G170" s="9">
        <f t="shared" si="7"/>
        <v>1</v>
      </c>
      <c r="H170" s="13">
        <f t="shared" si="8"/>
        <v>147.5</v>
      </c>
    </row>
    <row r="171" spans="1:8" x14ac:dyDescent="0.25">
      <c r="A171" s="2" t="str">
        <f>"575232162"</f>
        <v>575232162</v>
      </c>
      <c r="B171" s="2" t="str">
        <f>"X-Verbinder für 3~ Einbauschiene ONETRACK, schwarz"</f>
        <v>X-Verbinder für 3~ Einbauschiene ONETRACK, schwarz</v>
      </c>
      <c r="C171" s="16">
        <v>147.5</v>
      </c>
      <c r="D171" s="11">
        <v>65</v>
      </c>
      <c r="E171" s="7">
        <f t="shared" si="6"/>
        <v>1</v>
      </c>
      <c r="F171" s="22" t="str">
        <f>IF(ISERROR(VLOOKUP($A171,#REF!,3,0)),"x",VLOOKUP($A171,#REF!,3,FALSE))</f>
        <v>x</v>
      </c>
      <c r="G171" s="9">
        <f t="shared" si="7"/>
        <v>1</v>
      </c>
      <c r="H171" s="13">
        <f t="shared" si="8"/>
        <v>147.5</v>
      </c>
    </row>
    <row r="172" spans="1:8" x14ac:dyDescent="0.25">
      <c r="A172" s="2" t="str">
        <f>"575252031"</f>
        <v>575252031</v>
      </c>
      <c r="B172" s="2" t="str">
        <f>"Mitteneinspeiser für 3~ Auf-/ und Einbauschiene ONETRACK DALI, weiß"</f>
        <v>Mitteneinspeiser für 3~ Auf-/ und Einbauschiene ONETRACK DALI, weiß</v>
      </c>
      <c r="C172" s="16">
        <v>32.5</v>
      </c>
      <c r="D172" s="11">
        <v>59</v>
      </c>
      <c r="E172" s="7">
        <f t="shared" si="6"/>
        <v>1</v>
      </c>
      <c r="F172" s="22" t="str">
        <f>IF(ISERROR(VLOOKUP($A172,#REF!,3,0)),"x",VLOOKUP($A172,#REF!,3,FALSE))</f>
        <v>x</v>
      </c>
      <c r="G172" s="9">
        <f t="shared" si="7"/>
        <v>1</v>
      </c>
      <c r="H172" s="13">
        <f t="shared" si="8"/>
        <v>32.5</v>
      </c>
    </row>
    <row r="173" spans="1:8" x14ac:dyDescent="0.25">
      <c r="A173" s="2" t="str">
        <f>"575252032"</f>
        <v>575252032</v>
      </c>
      <c r="B173" s="2" t="str">
        <f>"Mitteneinspeiser für 3~ Auf-/ und Einbauschiene ONETRACK DALI, schwarz"</f>
        <v>Mitteneinspeiser für 3~ Auf-/ und Einbauschiene ONETRACK DALI, schwarz</v>
      </c>
      <c r="C173" s="16">
        <v>35</v>
      </c>
      <c r="D173" s="11">
        <v>59</v>
      </c>
      <c r="E173" s="7">
        <f t="shared" si="6"/>
        <v>1</v>
      </c>
      <c r="F173" s="22" t="str">
        <f>IF(ISERROR(VLOOKUP($A173,#REF!,3,0)),"x",VLOOKUP($A173,#REF!,3,FALSE))</f>
        <v>x</v>
      </c>
      <c r="G173" s="9">
        <f t="shared" si="7"/>
        <v>1</v>
      </c>
      <c r="H173" s="13">
        <f t="shared" si="8"/>
        <v>35</v>
      </c>
    </row>
    <row r="174" spans="1:8" x14ac:dyDescent="0.25">
      <c r="A174" s="2" t="str">
        <f>"575263201"</f>
        <v>575263201</v>
      </c>
      <c r="B174" s="2" t="str">
        <f>"LED Konverter In-Track Adapter ONETRACK, 21W 500mA, DALI, weiß"</f>
        <v>LED Konverter In-Track Adapter ONETRACK, 21W 500mA, DALI, weiß</v>
      </c>
      <c r="C174" s="16">
        <v>100</v>
      </c>
      <c r="D174" s="11">
        <v>60</v>
      </c>
      <c r="E174" s="7">
        <f t="shared" si="6"/>
        <v>1</v>
      </c>
      <c r="F174" s="22" t="str">
        <f>IF(ISERROR(VLOOKUP($A174,#REF!,3,0)),"x",VLOOKUP($A174,#REF!,3,FALSE))</f>
        <v>x</v>
      </c>
      <c r="G174" s="9">
        <f t="shared" si="7"/>
        <v>1</v>
      </c>
      <c r="H174" s="13">
        <f t="shared" si="8"/>
        <v>100</v>
      </c>
    </row>
    <row r="175" spans="1:8" x14ac:dyDescent="0.25">
      <c r="A175" s="2" t="str">
        <f>"575263202"</f>
        <v>575263202</v>
      </c>
      <c r="B175" s="2" t="str">
        <f>"LED Konverter In-Track Adapter ONETRACK, 21W 500mA, DALI, schwarz"</f>
        <v>LED Konverter In-Track Adapter ONETRACK, 21W 500mA, DALI, schwarz</v>
      </c>
      <c r="C175" s="16">
        <v>100</v>
      </c>
      <c r="D175" s="11">
        <v>60</v>
      </c>
      <c r="E175" s="7">
        <f t="shared" si="6"/>
        <v>1</v>
      </c>
      <c r="F175" s="22" t="str">
        <f>IF(ISERROR(VLOOKUP($A175,#REF!,3,0)),"x",VLOOKUP($A175,#REF!,3,FALSE))</f>
        <v>x</v>
      </c>
      <c r="G175" s="9">
        <f t="shared" si="7"/>
        <v>1</v>
      </c>
      <c r="H175" s="13">
        <f t="shared" si="8"/>
        <v>100</v>
      </c>
    </row>
    <row r="176" spans="1:8" x14ac:dyDescent="0.25">
      <c r="A176" s="2" t="str">
        <f>"575265331"</f>
        <v>575265331</v>
      </c>
      <c r="B176" s="2" t="str">
        <f>"In-Track Adapter ONETRACK, DALI, weiß"</f>
        <v>In-Track Adapter ONETRACK, DALI, weiß</v>
      </c>
      <c r="C176" s="16">
        <v>52.5</v>
      </c>
      <c r="D176" s="11">
        <v>60</v>
      </c>
      <c r="E176" s="7">
        <f t="shared" si="6"/>
        <v>1</v>
      </c>
      <c r="F176" s="22" t="str">
        <f>IF(ISERROR(VLOOKUP($A176,#REF!,3,0)),"x",VLOOKUP($A176,#REF!,3,FALSE))</f>
        <v>x</v>
      </c>
      <c r="G176" s="9">
        <f t="shared" si="7"/>
        <v>1</v>
      </c>
      <c r="H176" s="13">
        <f t="shared" si="8"/>
        <v>52.5</v>
      </c>
    </row>
    <row r="177" spans="1:8" x14ac:dyDescent="0.25">
      <c r="A177" s="2" t="str">
        <f>"575265332"</f>
        <v>575265332</v>
      </c>
      <c r="B177" s="2" t="str">
        <f>"In-Track Adapter ONETRACK, DALI, schwarz"</f>
        <v>In-Track Adapter ONETRACK, DALI, schwarz</v>
      </c>
      <c r="C177" s="16">
        <v>52.5</v>
      </c>
      <c r="D177" s="11">
        <v>60</v>
      </c>
      <c r="E177" s="7">
        <f t="shared" si="6"/>
        <v>1</v>
      </c>
      <c r="F177" s="22" t="str">
        <f>IF(ISERROR(VLOOKUP($A177,#REF!,3,0)),"x",VLOOKUP($A177,#REF!,3,FALSE))</f>
        <v>x</v>
      </c>
      <c r="G177" s="9">
        <f t="shared" si="7"/>
        <v>1</v>
      </c>
      <c r="H177" s="13">
        <f t="shared" si="8"/>
        <v>52.5</v>
      </c>
    </row>
    <row r="178" spans="1:8" x14ac:dyDescent="0.25">
      <c r="A178" s="2" t="str">
        <f>"575267101"</f>
        <v>575267101</v>
      </c>
      <c r="B178" s="2" t="str">
        <f>"Multiadapter für 3~ Aufbauschiene ONETRACK, mit Datenbus, weiß"</f>
        <v>Multiadapter für 3~ Aufbauschiene ONETRACK, mit Datenbus, weiß</v>
      </c>
      <c r="C178" s="16">
        <v>10</v>
      </c>
      <c r="D178" s="11">
        <v>60</v>
      </c>
      <c r="E178" s="7">
        <f t="shared" si="6"/>
        <v>1</v>
      </c>
      <c r="F178" s="22" t="str">
        <f>IF(ISERROR(VLOOKUP($A178,#REF!,3,0)),"x",VLOOKUP($A178,#REF!,3,FALSE))</f>
        <v>x</v>
      </c>
      <c r="G178" s="9">
        <f t="shared" si="7"/>
        <v>1</v>
      </c>
      <c r="H178" s="13">
        <f t="shared" si="8"/>
        <v>10</v>
      </c>
    </row>
    <row r="179" spans="1:8" x14ac:dyDescent="0.25">
      <c r="A179" s="2" t="str">
        <f>"575267102"</f>
        <v>575267102</v>
      </c>
      <c r="B179" s="2" t="str">
        <f>"Multiadapter für 3~ Aufbauschiene ONETRACK, mit Datenbus, schwarz"</f>
        <v>Multiadapter für 3~ Aufbauschiene ONETRACK, mit Datenbus, schwarz</v>
      </c>
      <c r="C179" s="16">
        <v>12.5</v>
      </c>
      <c r="D179" s="11">
        <v>60</v>
      </c>
      <c r="E179" s="7">
        <f t="shared" si="6"/>
        <v>1</v>
      </c>
      <c r="F179" s="22" t="str">
        <f>IF(ISERROR(VLOOKUP($A179,#REF!,3,0)),"x",VLOOKUP($A179,#REF!,3,FALSE))</f>
        <v>x</v>
      </c>
      <c r="G179" s="9">
        <f t="shared" si="7"/>
        <v>1</v>
      </c>
      <c r="H179" s="13">
        <f t="shared" si="8"/>
        <v>12.5</v>
      </c>
    </row>
    <row r="180" spans="1:8" x14ac:dyDescent="0.25">
      <c r="A180" s="2" t="str">
        <f>"575267108"</f>
        <v>575267108</v>
      </c>
      <c r="B180" s="2" t="str">
        <f>"Multiadapter für 3~ Aufbauschiene ONETRACK, mit Datenbus, grau"</f>
        <v>Multiadapter für 3~ Aufbauschiene ONETRACK, mit Datenbus, grau</v>
      </c>
      <c r="C180" s="16">
        <v>12.5</v>
      </c>
      <c r="D180" s="11">
        <v>60</v>
      </c>
      <c r="E180" s="7">
        <f t="shared" si="6"/>
        <v>1</v>
      </c>
      <c r="F180" s="22" t="str">
        <f>IF(ISERROR(VLOOKUP($A180,#REF!,3,0)),"x",VLOOKUP($A180,#REF!,3,FALSE))</f>
        <v>x</v>
      </c>
      <c r="G180" s="9">
        <f t="shared" si="7"/>
        <v>1</v>
      </c>
      <c r="H180" s="13">
        <f t="shared" si="8"/>
        <v>12.5</v>
      </c>
    </row>
    <row r="181" spans="1:8" x14ac:dyDescent="0.25">
      <c r="A181" s="2" t="str">
        <f>"575267201"</f>
        <v>575267201</v>
      </c>
      <c r="B181" s="2" t="str">
        <f>"UniAdapter für 3~ Aufbauschiene ONETRACK, mit Datenbus, weiß"</f>
        <v>UniAdapter für 3~ Aufbauschiene ONETRACK, mit Datenbus, weiß</v>
      </c>
      <c r="C181" s="16">
        <v>12.5</v>
      </c>
      <c r="D181" s="11">
        <v>60</v>
      </c>
      <c r="E181" s="7">
        <f t="shared" si="6"/>
        <v>1</v>
      </c>
      <c r="F181" s="22" t="str">
        <f>IF(ISERROR(VLOOKUP($A181,#REF!,3,0)),"x",VLOOKUP($A181,#REF!,3,FALSE))</f>
        <v>x</v>
      </c>
      <c r="G181" s="9">
        <f t="shared" si="7"/>
        <v>1</v>
      </c>
      <c r="H181" s="13">
        <f t="shared" si="8"/>
        <v>12.5</v>
      </c>
    </row>
    <row r="182" spans="1:8" x14ac:dyDescent="0.25">
      <c r="A182" s="2" t="str">
        <f>"575267202"</f>
        <v>575267202</v>
      </c>
      <c r="B182" s="2" t="str">
        <f>"UniAdapter für 3~ Aufbauschiene ONETRACK, mit Datenbus, schwarz"</f>
        <v>UniAdapter für 3~ Aufbauschiene ONETRACK, mit Datenbus, schwarz</v>
      </c>
      <c r="C182" s="16">
        <v>12.5</v>
      </c>
      <c r="D182" s="11">
        <v>60</v>
      </c>
      <c r="E182" s="7">
        <f t="shared" si="6"/>
        <v>1</v>
      </c>
      <c r="F182" s="22" t="str">
        <f>IF(ISERROR(VLOOKUP($A182,#REF!,3,0)),"x",VLOOKUP($A182,#REF!,3,FALSE))</f>
        <v>x</v>
      </c>
      <c r="G182" s="9">
        <f t="shared" si="7"/>
        <v>1</v>
      </c>
      <c r="H182" s="13">
        <f t="shared" si="8"/>
        <v>12.5</v>
      </c>
    </row>
    <row r="183" spans="1:8" x14ac:dyDescent="0.25">
      <c r="A183" s="2" t="str">
        <f>"575267208"</f>
        <v>575267208</v>
      </c>
      <c r="B183" s="2" t="str">
        <f>"UniAdapter für 3~ Aufbauschiene ONETRACK, mit Datenbus, grau"</f>
        <v>UniAdapter für 3~ Aufbauschiene ONETRACK, mit Datenbus, grau</v>
      </c>
      <c r="C183" s="16">
        <v>12.5</v>
      </c>
      <c r="D183" s="11">
        <v>60</v>
      </c>
      <c r="E183" s="7">
        <f t="shared" si="6"/>
        <v>1</v>
      </c>
      <c r="F183" s="22" t="str">
        <f>IF(ISERROR(VLOOKUP($A183,#REF!,3,0)),"x",VLOOKUP($A183,#REF!,3,FALSE))</f>
        <v>x</v>
      </c>
      <c r="G183" s="9">
        <f t="shared" si="7"/>
        <v>1</v>
      </c>
      <c r="H183" s="13">
        <f t="shared" si="8"/>
        <v>12.5</v>
      </c>
    </row>
    <row r="184" spans="1:8" x14ac:dyDescent="0.25">
      <c r="A184" s="2" t="str">
        <f>"98-657-0"</f>
        <v>98-657-0</v>
      </c>
      <c r="B184" s="2" t="str">
        <f>"Datenbusabgriff mit SELV Sicherheitsbaustein"</f>
        <v>Datenbusabgriff mit SELV Sicherheitsbaustein</v>
      </c>
      <c r="C184" s="16">
        <v>12.5</v>
      </c>
      <c r="D184" s="11">
        <v>54</v>
      </c>
      <c r="E184" s="7">
        <f t="shared" si="6"/>
        <v>1</v>
      </c>
      <c r="F184" s="22" t="str">
        <f>IF(ISERROR(VLOOKUP($A184,#REF!,3,0)),"x",VLOOKUP($A184,#REF!,3,FALSE))</f>
        <v>x</v>
      </c>
      <c r="G184" s="9">
        <f t="shared" si="7"/>
        <v>1</v>
      </c>
      <c r="H184" s="13">
        <f t="shared" si="8"/>
        <v>12.5</v>
      </c>
    </row>
    <row r="185" spans="1:8" x14ac:dyDescent="0.25">
      <c r="A185" s="2" t="str">
        <f>"99-698-0"</f>
        <v>99-698-0</v>
      </c>
      <c r="B185" s="2" t="str">
        <f>"Datenbusabgriff mit SELV Sicherheitsbaustein"</f>
        <v>Datenbusabgriff mit SELV Sicherheitsbaustein</v>
      </c>
      <c r="C185" s="16">
        <v>17.5</v>
      </c>
      <c r="D185" s="11">
        <v>54</v>
      </c>
      <c r="E185" s="7">
        <f t="shared" si="6"/>
        <v>1</v>
      </c>
      <c r="F185" s="22" t="str">
        <f>IF(ISERROR(VLOOKUP($A185,#REF!,3,0)),"x",VLOOKUP($A185,#REF!,3,FALSE))</f>
        <v>x</v>
      </c>
      <c r="G185" s="9">
        <f t="shared" si="7"/>
        <v>1</v>
      </c>
      <c r="H185" s="13">
        <f t="shared" si="8"/>
        <v>17.5</v>
      </c>
    </row>
    <row r="186" spans="1:8" x14ac:dyDescent="0.25">
      <c r="A186" s="2" t="str">
        <f>"A-IAN120"</f>
        <v>A-IAN120</v>
      </c>
      <c r="B186" s="2" t="str">
        <f>"5538 IANUS 120 - Platte mit Bodenanker"</f>
        <v>5538 IANUS 120 - Platte mit Bodenanker</v>
      </c>
      <c r="C186" s="16">
        <v>75</v>
      </c>
      <c r="D186" s="11">
        <v>337</v>
      </c>
      <c r="E186" s="7">
        <f t="shared" si="6"/>
        <v>1</v>
      </c>
      <c r="F186" s="22" t="str">
        <f>IF(ISERROR(VLOOKUP($A186,#REF!,3,0)),"x",VLOOKUP($A186,#REF!,3,FALSE))</f>
        <v>x</v>
      </c>
      <c r="G186" s="9">
        <f t="shared" si="7"/>
        <v>1</v>
      </c>
      <c r="H186" s="13">
        <f t="shared" si="8"/>
        <v>75</v>
      </c>
    </row>
    <row r="187" spans="1:8" x14ac:dyDescent="0.25">
      <c r="A187" s="2" t="str">
        <f>"A-IAN60"</f>
        <v>A-IAN60</v>
      </c>
      <c r="B187" s="2" t="str">
        <f>"5518 IANUS 60 - Platte mit Bodenanker"</f>
        <v>5518 IANUS 60 - Platte mit Bodenanker</v>
      </c>
      <c r="C187" s="16">
        <v>57.5</v>
      </c>
      <c r="D187" s="11">
        <v>335</v>
      </c>
      <c r="E187" s="7">
        <f t="shared" si="6"/>
        <v>1</v>
      </c>
      <c r="F187" s="22" t="str">
        <f>IF(ISERROR(VLOOKUP($A187,#REF!,3,0)),"x",VLOOKUP($A187,#REF!,3,FALSE))</f>
        <v>x</v>
      </c>
      <c r="G187" s="9">
        <f t="shared" si="7"/>
        <v>1</v>
      </c>
      <c r="H187" s="13">
        <f t="shared" si="8"/>
        <v>57.5</v>
      </c>
    </row>
    <row r="188" spans="1:8" x14ac:dyDescent="0.25">
      <c r="A188" s="2" t="str">
        <f>"A-IAND"</f>
        <v>A-IAND</v>
      </c>
      <c r="B188" s="2" t="str">
        <f>"5527 Edelstahl-Bodenanker für IANUS URBAN 7083-7084"</f>
        <v>5527 Edelstahl-Bodenanker für IANUS URBAN 7083-7084</v>
      </c>
      <c r="C188" s="16">
        <v>237.5</v>
      </c>
      <c r="D188" s="11">
        <v>349</v>
      </c>
      <c r="E188" s="7">
        <f t="shared" si="6"/>
        <v>1</v>
      </c>
      <c r="F188" s="22" t="str">
        <f>IF(ISERROR(VLOOKUP($A188,#REF!,3,0)),"x",VLOOKUP($A188,#REF!,3,FALSE))</f>
        <v>x</v>
      </c>
      <c r="G188" s="9">
        <f t="shared" si="7"/>
        <v>1</v>
      </c>
      <c r="H188" s="13">
        <f t="shared" si="8"/>
        <v>237.5</v>
      </c>
    </row>
    <row r="189" spans="1:8" x14ac:dyDescent="0.25">
      <c r="A189" s="2" t="str">
        <f>"A-K3POWER"</f>
        <v>A-K3POWER</v>
      </c>
      <c r="B189" s="2" t="str">
        <f>"1193 Edelstahlplatte für K3 POWER, H=280mm, inkl. Bodenplatte und Gelenkbügel"</f>
        <v>1193 Edelstahlplatte für K3 POWER, H=280mm, inkl. Bodenplatte und Gelenkbügel</v>
      </c>
      <c r="C189" s="16">
        <v>125</v>
      </c>
      <c r="D189" s="11">
        <v>278</v>
      </c>
      <c r="E189" s="7">
        <f t="shared" si="6"/>
        <v>1</v>
      </c>
      <c r="F189" s="22" t="str">
        <f>IF(ISERROR(VLOOKUP($A189,#REF!,3,0)),"x",VLOOKUP($A189,#REF!,3,FALSE))</f>
        <v>x</v>
      </c>
      <c r="G189" s="9">
        <f t="shared" si="7"/>
        <v>1</v>
      </c>
      <c r="H189" s="13">
        <f t="shared" si="8"/>
        <v>125</v>
      </c>
    </row>
    <row r="190" spans="1:8" x14ac:dyDescent="0.25">
      <c r="A190" s="2" t="str">
        <f>"A-MATI"</f>
        <v>A-MATI</v>
      </c>
      <c r="B190" s="2" t="str">
        <f>"Befestigungsplatte mit Fixierhaken für MATITA Pollerleuchte Round"</f>
        <v>Befestigungsplatte mit Fixierhaken für MATITA Pollerleuchte Round</v>
      </c>
      <c r="C190" s="16">
        <v>38</v>
      </c>
      <c r="D190" s="11">
        <v>339</v>
      </c>
      <c r="E190" s="7">
        <f t="shared" si="6"/>
        <v>1</v>
      </c>
      <c r="F190" s="22" t="str">
        <f>IF(ISERROR(VLOOKUP($A190,#REF!,3,0)),"x",VLOOKUP($A190,#REF!,3,FALSE))</f>
        <v>x</v>
      </c>
      <c r="G190" s="9">
        <f t="shared" si="7"/>
        <v>1</v>
      </c>
      <c r="H190" s="13">
        <f t="shared" si="8"/>
        <v>38</v>
      </c>
    </row>
    <row r="191" spans="1:8" x14ac:dyDescent="0.25">
      <c r="A191" s="2" t="str">
        <f>"A-MATQ"</f>
        <v>A-MATQ</v>
      </c>
      <c r="B191" s="2" t="str">
        <f>"Befestigungsplatte mit Fixierhaken für MATITA Pollerleuchte Square"</f>
        <v>Befestigungsplatte mit Fixierhaken für MATITA Pollerleuchte Square</v>
      </c>
      <c r="C191" s="16">
        <v>22.25</v>
      </c>
      <c r="D191" s="11">
        <v>341</v>
      </c>
      <c r="E191" s="7">
        <f t="shared" si="6"/>
        <v>1</v>
      </c>
      <c r="F191" s="22" t="str">
        <f>IF(ISERROR(VLOOKUP($A191,#REF!,3,0)),"x",VLOOKUP($A191,#REF!,3,FALSE))</f>
        <v>x</v>
      </c>
      <c r="G191" s="9">
        <f t="shared" si="7"/>
        <v>1</v>
      </c>
      <c r="H191" s="13">
        <f t="shared" si="8"/>
        <v>22.25</v>
      </c>
    </row>
    <row r="192" spans="1:8" x14ac:dyDescent="0.25">
      <c r="A192" s="2" t="str">
        <f>"A-MDK7606"</f>
        <v>A-MDK7606</v>
      </c>
      <c r="B192" s="2" t="str">
        <f>"Doppelte Halterung für MIRON Wandleuchte, kurz, 2x150 mm, anthrazit"</f>
        <v>Doppelte Halterung für MIRON Wandleuchte, kurz, 2x150 mm, anthrazit</v>
      </c>
      <c r="C192" s="16">
        <v>181.25</v>
      </c>
      <c r="D192" s="11">
        <v>362</v>
      </c>
      <c r="E192" s="7">
        <f t="shared" si="6"/>
        <v>1</v>
      </c>
      <c r="F192" s="22" t="str">
        <f>IF(ISERROR(VLOOKUP($A192,#REF!,3,0)),"x",VLOOKUP($A192,#REF!,3,FALSE))</f>
        <v>x</v>
      </c>
      <c r="G192" s="9">
        <f t="shared" si="7"/>
        <v>1</v>
      </c>
      <c r="H192" s="13">
        <f t="shared" si="8"/>
        <v>181.25</v>
      </c>
    </row>
    <row r="193" spans="1:8" x14ac:dyDescent="0.25">
      <c r="A193" s="2" t="str">
        <f>"A-MDK7607"</f>
        <v>A-MDK7607</v>
      </c>
      <c r="B193" s="2" t="str">
        <f>"Doppelte Halterung für MIRON Wandleuchte, kurz, 2x150 mm, metallgrau"</f>
        <v>Doppelte Halterung für MIRON Wandleuchte, kurz, 2x150 mm, metallgrau</v>
      </c>
      <c r="C193" s="16">
        <v>181.25</v>
      </c>
      <c r="D193" s="11">
        <v>362</v>
      </c>
      <c r="E193" s="7">
        <f t="shared" si="6"/>
        <v>1</v>
      </c>
      <c r="F193" s="22" t="str">
        <f>IF(ISERROR(VLOOKUP($A193,#REF!,3,0)),"x",VLOOKUP($A193,#REF!,3,FALSE))</f>
        <v>x</v>
      </c>
      <c r="G193" s="9">
        <f t="shared" si="7"/>
        <v>1</v>
      </c>
      <c r="H193" s="13">
        <f t="shared" si="8"/>
        <v>181.25</v>
      </c>
    </row>
    <row r="194" spans="1:8" x14ac:dyDescent="0.25">
      <c r="A194" s="2" t="str">
        <f>"A-MDL7606"</f>
        <v>A-MDL7606</v>
      </c>
      <c r="B194" s="2" t="str">
        <f>"Doppelte Halterung für MIRON Wandleuchte, lang, 2x400 mm, anthrazit"</f>
        <v>Doppelte Halterung für MIRON Wandleuchte, lang, 2x400 mm, anthrazit</v>
      </c>
      <c r="C194" s="16">
        <v>387</v>
      </c>
      <c r="D194" s="11">
        <v>362</v>
      </c>
      <c r="E194" s="7">
        <f t="shared" si="6"/>
        <v>1</v>
      </c>
      <c r="F194" s="22" t="str">
        <f>IF(ISERROR(VLOOKUP($A194,#REF!,3,0)),"x",VLOOKUP($A194,#REF!,3,FALSE))</f>
        <v>x</v>
      </c>
      <c r="G194" s="9">
        <f t="shared" si="7"/>
        <v>1</v>
      </c>
      <c r="H194" s="13">
        <f t="shared" si="8"/>
        <v>387</v>
      </c>
    </row>
    <row r="195" spans="1:8" x14ac:dyDescent="0.25">
      <c r="A195" s="2" t="str">
        <f>"A-MDL7607"</f>
        <v>A-MDL7607</v>
      </c>
      <c r="B195" s="2" t="str">
        <f>"Doppelte Halterung für MIRON Wandleuchte, lang, 2x400 mm, metallgrau"</f>
        <v>Doppelte Halterung für MIRON Wandleuchte, lang, 2x400 mm, metallgrau</v>
      </c>
      <c r="C195" s="16">
        <v>387</v>
      </c>
      <c r="D195" s="11">
        <v>362</v>
      </c>
      <c r="E195" s="7">
        <f t="shared" si="6"/>
        <v>1</v>
      </c>
      <c r="F195" s="22" t="str">
        <f>IF(ISERROR(VLOOKUP($A195,#REF!,3,0)),"x",VLOOKUP($A195,#REF!,3,FALSE))</f>
        <v>x</v>
      </c>
      <c r="G195" s="9">
        <f t="shared" si="7"/>
        <v>1</v>
      </c>
      <c r="H195" s="13">
        <f t="shared" si="8"/>
        <v>387</v>
      </c>
    </row>
    <row r="196" spans="1:8" x14ac:dyDescent="0.25">
      <c r="A196" s="2" t="str">
        <f>"A-MEK7606"</f>
        <v>A-MEK7606</v>
      </c>
      <c r="B196" s="2" t="str">
        <f>"Einfache Halterung für MIRON Wandleuchte, kurz, 150 mm, anthrazit"</f>
        <v>Einfache Halterung für MIRON Wandleuchte, kurz, 150 mm, anthrazit</v>
      </c>
      <c r="C196" s="16">
        <v>95.25</v>
      </c>
      <c r="D196" s="11">
        <v>362</v>
      </c>
      <c r="E196" s="7">
        <f t="shared" ref="E196:E259" si="9">G196</f>
        <v>1</v>
      </c>
      <c r="F196" s="22" t="str">
        <f>IF(ISERROR(VLOOKUP($A196,#REF!,3,0)),"x",VLOOKUP($A196,#REF!,3,FALSE))</f>
        <v>x</v>
      </c>
      <c r="G196" s="9">
        <f t="shared" ref="G196:G259" si="10">IF(C196&lt;F196,1,IF(C196&gt;F196,-1,0))</f>
        <v>1</v>
      </c>
      <c r="H196" s="13">
        <f t="shared" si="8"/>
        <v>95.25</v>
      </c>
    </row>
    <row r="197" spans="1:8" x14ac:dyDescent="0.25">
      <c r="A197" s="2" t="str">
        <f>"A-MEK7607"</f>
        <v>A-MEK7607</v>
      </c>
      <c r="B197" s="2" t="str">
        <f>"Einfache Halterung für MIRON Wandleuchte, kurz, 150 mm, metallgrau"</f>
        <v>Einfache Halterung für MIRON Wandleuchte, kurz, 150 mm, metallgrau</v>
      </c>
      <c r="C197" s="16">
        <v>95.25</v>
      </c>
      <c r="D197" s="11">
        <v>362</v>
      </c>
      <c r="E197" s="7">
        <f t="shared" si="9"/>
        <v>1</v>
      </c>
      <c r="F197" s="22" t="str">
        <f>IF(ISERROR(VLOOKUP($A197,#REF!,3,0)),"x",VLOOKUP($A197,#REF!,3,FALSE))</f>
        <v>x</v>
      </c>
      <c r="G197" s="9">
        <f t="shared" si="10"/>
        <v>1</v>
      </c>
      <c r="H197" s="13">
        <f t="shared" si="8"/>
        <v>95.25</v>
      </c>
    </row>
    <row r="198" spans="1:8" x14ac:dyDescent="0.25">
      <c r="A198" s="2" t="str">
        <f>"A-MEL7606"</f>
        <v>A-MEL7606</v>
      </c>
      <c r="B198" s="2" t="str">
        <f>"Einfache Halterung für MIRON Wandleuchte, lang, 400 mm, anthrazit"</f>
        <v>Einfache Halterung für MIRON Wandleuchte, lang, 400 mm, anthrazit</v>
      </c>
      <c r="C198" s="16">
        <v>194.25</v>
      </c>
      <c r="D198" s="11">
        <v>362</v>
      </c>
      <c r="E198" s="7">
        <f t="shared" si="9"/>
        <v>1</v>
      </c>
      <c r="F198" s="22" t="str">
        <f>IF(ISERROR(VLOOKUP($A198,#REF!,3,0)),"x",VLOOKUP($A198,#REF!,3,FALSE))</f>
        <v>x</v>
      </c>
      <c r="G198" s="9">
        <f t="shared" si="10"/>
        <v>1</v>
      </c>
      <c r="H198" s="13">
        <f t="shared" ref="H198:H261" si="11">IF(F198="x",C198,F198)</f>
        <v>194.25</v>
      </c>
    </row>
    <row r="199" spans="1:8" x14ac:dyDescent="0.25">
      <c r="A199" s="2" t="str">
        <f>"A-MEL7607"</f>
        <v>A-MEL7607</v>
      </c>
      <c r="B199" s="2" t="str">
        <f>"Einfache Halterung für MIRON Wandleuchte, lang, 400 mm, metallgrau"</f>
        <v>Einfache Halterung für MIRON Wandleuchte, lang, 400 mm, metallgrau</v>
      </c>
      <c r="C199" s="16">
        <v>194.25</v>
      </c>
      <c r="D199" s="11">
        <v>362</v>
      </c>
      <c r="E199" s="7">
        <f t="shared" si="9"/>
        <v>1</v>
      </c>
      <c r="F199" s="22" t="str">
        <f>IF(ISERROR(VLOOKUP($A199,#REF!,3,0)),"x",VLOOKUP($A199,#REF!,3,FALSE))</f>
        <v>x</v>
      </c>
      <c r="G199" s="9">
        <f t="shared" si="10"/>
        <v>1</v>
      </c>
      <c r="H199" s="13">
        <f t="shared" si="11"/>
        <v>194.25</v>
      </c>
    </row>
    <row r="200" spans="1:8" x14ac:dyDescent="0.25">
      <c r="A200" s="2" t="str">
        <f>"A-MUS"</f>
        <v>A-MUS</v>
      </c>
      <c r="B200" s="2" t="str">
        <f>"Edelstahlplatte rund mit Bodenanker"</f>
        <v>Edelstahlplatte rund mit Bodenanker</v>
      </c>
      <c r="C200" s="16">
        <v>32</v>
      </c>
      <c r="D200" s="11">
        <v>317</v>
      </c>
      <c r="E200" s="7">
        <f t="shared" si="9"/>
        <v>1</v>
      </c>
      <c r="F200" s="22" t="str">
        <f>IF(ISERROR(VLOOKUP($A200,#REF!,3,0)),"x",VLOOKUP($A200,#REF!,3,FALSE))</f>
        <v>x</v>
      </c>
      <c r="G200" s="9">
        <f t="shared" si="10"/>
        <v>1</v>
      </c>
      <c r="H200" s="13">
        <f t="shared" si="11"/>
        <v>32</v>
      </c>
    </row>
    <row r="201" spans="1:8" x14ac:dyDescent="0.25">
      <c r="A201" s="2" t="str">
        <f>"A-PROTOD60-76"</f>
        <v>A-PROTOD60-76</v>
      </c>
      <c r="B201" s="2" t="str">
        <f>"5062AN PROTO Dopppel-Mastbefestigung Ø 60-76 mm anthrazit"</f>
        <v>5062AN PROTO Dopppel-Mastbefestigung Ø 60-76 mm anthrazit</v>
      </c>
      <c r="C201" s="16">
        <v>105</v>
      </c>
      <c r="D201" s="11">
        <v>351</v>
      </c>
      <c r="E201" s="7">
        <f t="shared" si="9"/>
        <v>1</v>
      </c>
      <c r="F201" s="22" t="str">
        <f>IF(ISERROR(VLOOKUP($A201,#REF!,3,0)),"x",VLOOKUP($A201,#REF!,3,FALSE))</f>
        <v>x</v>
      </c>
      <c r="G201" s="9">
        <f t="shared" si="10"/>
        <v>1</v>
      </c>
      <c r="H201" s="13">
        <f t="shared" si="11"/>
        <v>105</v>
      </c>
    </row>
    <row r="202" spans="1:8" x14ac:dyDescent="0.25">
      <c r="A202" s="2" t="str">
        <f>"A-PROTOE60-76"</f>
        <v>A-PROTOE60-76</v>
      </c>
      <c r="B202" s="2" t="str">
        <f>"5061AN PROTO Einzel-Mastbefestigung Ø 60-76 mm anthrazit"</f>
        <v>5061AN PROTO Einzel-Mastbefestigung Ø 60-76 mm anthrazit</v>
      </c>
      <c r="C202" s="16">
        <v>97.5</v>
      </c>
      <c r="D202" s="11">
        <v>351</v>
      </c>
      <c r="E202" s="7">
        <f t="shared" si="9"/>
        <v>1</v>
      </c>
      <c r="F202" s="22" t="str">
        <f>IF(ISERROR(VLOOKUP($A202,#REF!,3,0)),"x",VLOOKUP($A202,#REF!,3,FALSE))</f>
        <v>x</v>
      </c>
      <c r="G202" s="9">
        <f t="shared" si="10"/>
        <v>1</v>
      </c>
      <c r="H202" s="13">
        <f t="shared" si="11"/>
        <v>97.5</v>
      </c>
    </row>
    <row r="203" spans="1:8" x14ac:dyDescent="0.25">
      <c r="A203" s="2" t="str">
        <f>"A-SERVP"</f>
        <v>A-SERVP</v>
      </c>
      <c r="B203" s="2" t="str">
        <f>"5309 Edelstahlplatte mit Bodenanker für ServerPoint "</f>
        <v xml:space="preserve">5309 Edelstahlplatte mit Bodenanker für ServerPoint </v>
      </c>
      <c r="C203" s="16">
        <v>75.75</v>
      </c>
      <c r="D203" s="11">
        <v>345</v>
      </c>
      <c r="E203" s="7">
        <f t="shared" si="9"/>
        <v>1</v>
      </c>
      <c r="F203" s="22" t="str">
        <f>IF(ISERROR(VLOOKUP($A203,#REF!,3,0)),"x",VLOOKUP($A203,#REF!,3,FALSE))</f>
        <v>x</v>
      </c>
      <c r="G203" s="9">
        <f t="shared" si="10"/>
        <v>1</v>
      </c>
      <c r="H203" s="13">
        <f t="shared" si="11"/>
        <v>75.75</v>
      </c>
    </row>
    <row r="204" spans="1:8" x14ac:dyDescent="0.25">
      <c r="A204" s="2" t="str">
        <f>"A-STAND"</f>
        <v>A-STAND</v>
      </c>
      <c r="B204" s="2" t="str">
        <f>"5529 Edelstahl-Bodenanker für STANDING, QUANTUM Alu-Poller"</f>
        <v>5529 Edelstahl-Bodenanker für STANDING, QUANTUM Alu-Poller</v>
      </c>
      <c r="C204" s="16">
        <v>41.75</v>
      </c>
      <c r="D204" s="11">
        <v>327</v>
      </c>
      <c r="E204" s="7">
        <f t="shared" si="9"/>
        <v>1</v>
      </c>
      <c r="F204" s="22" t="str">
        <f>IF(ISERROR(VLOOKUP($A204,#REF!,3,0)),"x",VLOOKUP($A204,#REF!,3,FALSE))</f>
        <v>x</v>
      </c>
      <c r="G204" s="9">
        <f t="shared" si="10"/>
        <v>1</v>
      </c>
      <c r="H204" s="13">
        <f t="shared" si="11"/>
        <v>41.75</v>
      </c>
    </row>
    <row r="205" spans="1:8" x14ac:dyDescent="0.25">
      <c r="A205" s="2" t="str">
        <f>"A-ZE"</f>
        <v>A-ZE</v>
      </c>
      <c r="B205" s="2" t="str">
        <f>"Zeus Befestigungsanker"</f>
        <v>Zeus Befestigungsanker</v>
      </c>
      <c r="C205" s="16">
        <v>28.75</v>
      </c>
      <c r="D205" s="11">
        <v>263</v>
      </c>
      <c r="E205" s="7">
        <f t="shared" si="9"/>
        <v>1</v>
      </c>
      <c r="F205" s="22" t="str">
        <f>IF(ISERROR(VLOOKUP($A205,#REF!,3,0)),"x",VLOOKUP($A205,#REF!,3,FALSE))</f>
        <v>x</v>
      </c>
      <c r="G205" s="9">
        <f t="shared" si="10"/>
        <v>1</v>
      </c>
      <c r="H205" s="13">
        <f t="shared" si="11"/>
        <v>28.75</v>
      </c>
    </row>
    <row r="206" spans="1:8" x14ac:dyDescent="0.25">
      <c r="A206" s="2" t="str">
        <f>"ALSF-LED-1260NW-B"</f>
        <v>ALSF-LED-1260NW-B</v>
      </c>
      <c r="B206" s="2" t="str">
        <f>"ALSF LED Feuchtraum Anbauleuchte, Basic, 43W, 4000K, 220-240V"</f>
        <v>ALSF LED Feuchtraum Anbauleuchte, Basic, 43W, 4000K, 220-240V</v>
      </c>
      <c r="C206" s="16">
        <v>219</v>
      </c>
      <c r="D206" s="11">
        <v>209</v>
      </c>
      <c r="E206" s="7">
        <f t="shared" si="9"/>
        <v>1</v>
      </c>
      <c r="F206" s="22" t="str">
        <f>IF(ISERROR(VLOOKUP($A206,#REF!,3,0)),"x",VLOOKUP($A206,#REF!,3,FALSE))</f>
        <v>x</v>
      </c>
      <c r="G206" s="9">
        <f t="shared" si="10"/>
        <v>1</v>
      </c>
      <c r="H206" s="13">
        <f t="shared" si="11"/>
        <v>219</v>
      </c>
    </row>
    <row r="207" spans="1:8" x14ac:dyDescent="0.25">
      <c r="A207" s="2" t="str">
        <f>"ALSF-LED-1260WW-B"</f>
        <v>ALSF-LED-1260WW-B</v>
      </c>
      <c r="B207" s="2" t="str">
        <f>"ALSF LED Feuchtraum Anbauleuchte, Basic, 43W, 3000K, 220-240V"</f>
        <v>ALSF LED Feuchtraum Anbauleuchte, Basic, 43W, 3000K, 220-240V</v>
      </c>
      <c r="C207" s="16">
        <v>219</v>
      </c>
      <c r="D207" s="11">
        <v>209</v>
      </c>
      <c r="E207" s="7">
        <f t="shared" si="9"/>
        <v>1</v>
      </c>
      <c r="F207" s="22" t="str">
        <f>IF(ISERROR(VLOOKUP($A207,#REF!,3,0)),"x",VLOOKUP($A207,#REF!,3,FALSE))</f>
        <v>x</v>
      </c>
      <c r="G207" s="9">
        <f t="shared" si="10"/>
        <v>1</v>
      </c>
      <c r="H207" s="13">
        <f t="shared" si="11"/>
        <v>219</v>
      </c>
    </row>
    <row r="208" spans="1:8" x14ac:dyDescent="0.25">
      <c r="A208" s="2" t="str">
        <f>"ALSF-LED-1560NW-B"</f>
        <v>ALSF-LED-1560NW-B</v>
      </c>
      <c r="B208" s="2" t="str">
        <f>"ALSF LED Feuchtraum Anbauleuchte, Basic, 46W, 4000K, 220-240V"</f>
        <v>ALSF LED Feuchtraum Anbauleuchte, Basic, 46W, 4000K, 220-240V</v>
      </c>
      <c r="C208" s="16">
        <v>249</v>
      </c>
      <c r="D208" s="11">
        <v>209</v>
      </c>
      <c r="E208" s="7">
        <f t="shared" si="9"/>
        <v>1</v>
      </c>
      <c r="F208" s="22" t="str">
        <f>IF(ISERROR(VLOOKUP($A208,#REF!,3,0)),"x",VLOOKUP($A208,#REF!,3,FALSE))</f>
        <v>x</v>
      </c>
      <c r="G208" s="9">
        <f t="shared" si="10"/>
        <v>1</v>
      </c>
      <c r="H208" s="13">
        <f t="shared" si="11"/>
        <v>249</v>
      </c>
    </row>
    <row r="209" spans="1:8" x14ac:dyDescent="0.25">
      <c r="A209" s="2" t="str">
        <f>"ALSF-LED-1560WW-B"</f>
        <v>ALSF-LED-1560WW-B</v>
      </c>
      <c r="B209" s="2" t="str">
        <f>"ALSF LED Feuchtraum Anbauleuchte, Basic, 46W, 3000K, 220-240V"</f>
        <v>ALSF LED Feuchtraum Anbauleuchte, Basic, 46W, 3000K, 220-240V</v>
      </c>
      <c r="C209" s="16">
        <v>250</v>
      </c>
      <c r="D209" s="11">
        <v>209</v>
      </c>
      <c r="E209" s="7">
        <f t="shared" si="9"/>
        <v>1</v>
      </c>
      <c r="F209" s="22" t="str">
        <f>IF(ISERROR(VLOOKUP($A209,#REF!,3,0)),"x",VLOOKUP($A209,#REF!,3,FALSE))</f>
        <v>x</v>
      </c>
      <c r="G209" s="9">
        <f t="shared" si="10"/>
        <v>1</v>
      </c>
      <c r="H209" s="13">
        <f t="shared" si="11"/>
        <v>250</v>
      </c>
    </row>
    <row r="210" spans="1:8" x14ac:dyDescent="0.25">
      <c r="A210" s="2" t="str">
        <f>"AMOS-7NW1TD"</f>
        <v>AMOS-7NW1TD</v>
      </c>
      <c r="B210" s="2" t="str">
        <f>"Deckenanbauleuchte zylindr, LED COB 4W, 4000K, integr. Netzteil, Gehäuse weiß"</f>
        <v>Deckenanbauleuchte zylindr, LED COB 4W, 4000K, integr. Netzteil, Gehäuse weiß</v>
      </c>
      <c r="C210" s="16">
        <v>92.5</v>
      </c>
      <c r="D210" s="11">
        <v>183</v>
      </c>
      <c r="E210" s="7">
        <f t="shared" si="9"/>
        <v>1</v>
      </c>
      <c r="F210" s="22" t="str">
        <f>IF(ISERROR(VLOOKUP($A210,#REF!,3,0)),"x",VLOOKUP($A210,#REF!,3,FALSE))</f>
        <v>x</v>
      </c>
      <c r="G210" s="9">
        <f t="shared" si="10"/>
        <v>1</v>
      </c>
      <c r="H210" s="13">
        <f t="shared" si="11"/>
        <v>92.5</v>
      </c>
    </row>
    <row r="211" spans="1:8" x14ac:dyDescent="0.25">
      <c r="A211" s="2" t="str">
        <f>"AMOS-7WW1TD"</f>
        <v>AMOS-7WW1TD</v>
      </c>
      <c r="B211" s="2" t="str">
        <f>"Deckenanbauleuchte zylindr, LED COB 4W, 3000K, integr. Netzteil, Gehäuse weiß"</f>
        <v>Deckenanbauleuchte zylindr, LED COB 4W, 3000K, integr. Netzteil, Gehäuse weiß</v>
      </c>
      <c r="C211" s="16">
        <v>92.5</v>
      </c>
      <c r="D211" s="11">
        <v>183</v>
      </c>
      <c r="E211" s="7">
        <f t="shared" si="9"/>
        <v>1</v>
      </c>
      <c r="F211" s="22" t="str">
        <f>IF(ISERROR(VLOOKUP($A211,#REF!,3,0)),"x",VLOOKUP($A211,#REF!,3,FALSE))</f>
        <v>x</v>
      </c>
      <c r="G211" s="9">
        <f t="shared" si="10"/>
        <v>1</v>
      </c>
      <c r="H211" s="13">
        <f t="shared" si="11"/>
        <v>92.5</v>
      </c>
    </row>
    <row r="212" spans="1:8" x14ac:dyDescent="0.25">
      <c r="A212" s="2" t="str">
        <f>"APLN-10NW1"</f>
        <v>APLN-10NW1</v>
      </c>
      <c r="B212" s="2" t="str">
        <f>"APLN Deckenanbauleuchte, LED, 11W, 4000K, Gehäuse weiß"</f>
        <v>APLN Deckenanbauleuchte, LED, 11W, 4000K, Gehäuse weiß</v>
      </c>
      <c r="C212" s="16">
        <v>79.5</v>
      </c>
      <c r="D212" s="11">
        <v>159</v>
      </c>
      <c r="E212" s="7">
        <f t="shared" si="9"/>
        <v>1</v>
      </c>
      <c r="F212" s="22" t="str">
        <f>IF(ISERROR(VLOOKUP($A212,#REF!,3,0)),"x",VLOOKUP($A212,#REF!,3,FALSE))</f>
        <v>x</v>
      </c>
      <c r="G212" s="9">
        <f t="shared" si="10"/>
        <v>1</v>
      </c>
      <c r="H212" s="13">
        <f t="shared" si="11"/>
        <v>79.5</v>
      </c>
    </row>
    <row r="213" spans="1:8" x14ac:dyDescent="0.25">
      <c r="A213" s="2" t="str">
        <f>"APLN-10NW2"</f>
        <v>APLN-10NW2</v>
      </c>
      <c r="B213" s="2" t="str">
        <f>"APLN Deckenanbauleuchte, LED, 10W, 4000K, Gehäuse schwarz"</f>
        <v>APLN Deckenanbauleuchte, LED, 10W, 4000K, Gehäuse schwarz</v>
      </c>
      <c r="C213" s="16">
        <v>79.5</v>
      </c>
      <c r="D213" s="11">
        <v>159</v>
      </c>
      <c r="E213" s="7">
        <f t="shared" si="9"/>
        <v>1</v>
      </c>
      <c r="F213" s="22" t="str">
        <f>IF(ISERROR(VLOOKUP($A213,#REF!,3,0)),"x",VLOOKUP($A213,#REF!,3,FALSE))</f>
        <v>x</v>
      </c>
      <c r="G213" s="9">
        <f t="shared" si="10"/>
        <v>1</v>
      </c>
      <c r="H213" s="13">
        <f t="shared" si="11"/>
        <v>79.5</v>
      </c>
    </row>
    <row r="214" spans="1:8" x14ac:dyDescent="0.25">
      <c r="A214" s="2" t="str">
        <f>"APLN-10NW31"</f>
        <v>APLN-10NW31</v>
      </c>
      <c r="B214" s="2" t="str">
        <f>"APLN Pendelleuchte, LED, 11W, 4000K, inkl. Seilabhängung, Gehäuse weiß"</f>
        <v>APLN Pendelleuchte, LED, 11W, 4000K, inkl. Seilabhängung, Gehäuse weiß</v>
      </c>
      <c r="C214" s="16">
        <v>95.5</v>
      </c>
      <c r="D214" s="11">
        <v>159</v>
      </c>
      <c r="E214" s="7">
        <f t="shared" si="9"/>
        <v>1</v>
      </c>
      <c r="F214" s="22" t="str">
        <f>IF(ISERROR(VLOOKUP($A214,#REF!,3,0)),"x",VLOOKUP($A214,#REF!,3,FALSE))</f>
        <v>x</v>
      </c>
      <c r="G214" s="9">
        <f t="shared" si="10"/>
        <v>1</v>
      </c>
      <c r="H214" s="13">
        <f t="shared" si="11"/>
        <v>95.5</v>
      </c>
    </row>
    <row r="215" spans="1:8" x14ac:dyDescent="0.25">
      <c r="A215" s="2" t="str">
        <f>"APLN-10NW32"</f>
        <v>APLN-10NW32</v>
      </c>
      <c r="B215" s="2" t="str">
        <f>"APLN Pendelleuchte, LED, 11W, 4000K, inkl. Seilabhängung, Gehäuse schwarz"</f>
        <v>APLN Pendelleuchte, LED, 11W, 4000K, inkl. Seilabhängung, Gehäuse schwarz</v>
      </c>
      <c r="C215" s="16">
        <v>95.5</v>
      </c>
      <c r="D215" s="11">
        <v>159</v>
      </c>
      <c r="E215" s="7">
        <f t="shared" si="9"/>
        <v>1</v>
      </c>
      <c r="F215" s="22" t="str">
        <f>IF(ISERROR(VLOOKUP($A215,#REF!,3,0)),"x",VLOOKUP($A215,#REF!,3,FALSE))</f>
        <v>x</v>
      </c>
      <c r="G215" s="9">
        <f t="shared" si="10"/>
        <v>1</v>
      </c>
      <c r="H215" s="13">
        <f t="shared" si="11"/>
        <v>95.5</v>
      </c>
    </row>
    <row r="216" spans="1:8" x14ac:dyDescent="0.25">
      <c r="A216" s="2" t="str">
        <f>"APLN-10WW1"</f>
        <v>APLN-10WW1</v>
      </c>
      <c r="B216" s="2" t="str">
        <f>"APLN Deckenanbauleuchte, LED, 10W, 3000K, Gehäuse weiß"</f>
        <v>APLN Deckenanbauleuchte, LED, 10W, 3000K, Gehäuse weiß</v>
      </c>
      <c r="C216" s="16">
        <v>79.5</v>
      </c>
      <c r="D216" s="11">
        <v>159</v>
      </c>
      <c r="E216" s="7">
        <f t="shared" si="9"/>
        <v>1</v>
      </c>
      <c r="F216" s="22" t="str">
        <f>IF(ISERROR(VLOOKUP($A216,#REF!,3,0)),"x",VLOOKUP($A216,#REF!,3,FALSE))</f>
        <v>x</v>
      </c>
      <c r="G216" s="9">
        <f t="shared" si="10"/>
        <v>1</v>
      </c>
      <c r="H216" s="13">
        <f t="shared" si="11"/>
        <v>79.5</v>
      </c>
    </row>
    <row r="217" spans="1:8" x14ac:dyDescent="0.25">
      <c r="A217" s="2" t="str">
        <f>"APLN-10WW2"</f>
        <v>APLN-10WW2</v>
      </c>
      <c r="B217" s="2" t="str">
        <f>"APLN Deckenanbauleuchte, LED, 11W, 3000K, Gehäuse schwarz"</f>
        <v>APLN Deckenanbauleuchte, LED, 11W, 3000K, Gehäuse schwarz</v>
      </c>
      <c r="C217" s="16">
        <v>79.5</v>
      </c>
      <c r="D217" s="11">
        <v>159</v>
      </c>
      <c r="E217" s="7">
        <f t="shared" si="9"/>
        <v>1</v>
      </c>
      <c r="F217" s="22" t="str">
        <f>IF(ISERROR(VLOOKUP($A217,#REF!,3,0)),"x",VLOOKUP($A217,#REF!,3,FALSE))</f>
        <v>x</v>
      </c>
      <c r="G217" s="9">
        <f t="shared" si="10"/>
        <v>1</v>
      </c>
      <c r="H217" s="13">
        <f t="shared" si="11"/>
        <v>79.5</v>
      </c>
    </row>
    <row r="218" spans="1:8" x14ac:dyDescent="0.25">
      <c r="A218" s="2" t="str">
        <f>"APLN-10WW31"</f>
        <v>APLN-10WW31</v>
      </c>
      <c r="B218" s="2" t="str">
        <f>"APLN Pendelleuchte, LED, 11W, 3000K, inkl. Seilabhängung, Gehäuse weiß"</f>
        <v>APLN Pendelleuchte, LED, 11W, 3000K, inkl. Seilabhängung, Gehäuse weiß</v>
      </c>
      <c r="C218" s="16">
        <v>95.5</v>
      </c>
      <c r="D218" s="11">
        <v>159</v>
      </c>
      <c r="E218" s="7">
        <f t="shared" si="9"/>
        <v>1</v>
      </c>
      <c r="F218" s="22" t="str">
        <f>IF(ISERROR(VLOOKUP($A218,#REF!,3,0)),"x",VLOOKUP($A218,#REF!,3,FALSE))</f>
        <v>x</v>
      </c>
      <c r="G218" s="9">
        <f t="shared" si="10"/>
        <v>1</v>
      </c>
      <c r="H218" s="13">
        <f t="shared" si="11"/>
        <v>95.5</v>
      </c>
    </row>
    <row r="219" spans="1:8" x14ac:dyDescent="0.25">
      <c r="A219" s="2" t="str">
        <f>"APLN-10WW32"</f>
        <v>APLN-10WW32</v>
      </c>
      <c r="B219" s="2" t="str">
        <f>"APLN Pendelleuchte, LED, 11W, 3000K, inkl. Seilabhängung, Gehäuse schwarz"</f>
        <v>APLN Pendelleuchte, LED, 11W, 3000K, inkl. Seilabhängung, Gehäuse schwarz</v>
      </c>
      <c r="C219" s="16">
        <v>95.5</v>
      </c>
      <c r="D219" s="11">
        <v>159</v>
      </c>
      <c r="E219" s="7">
        <f t="shared" si="9"/>
        <v>1</v>
      </c>
      <c r="F219" s="22" t="str">
        <f>IF(ISERROR(VLOOKUP($A219,#REF!,3,0)),"x",VLOOKUP($A219,#REF!,3,FALSE))</f>
        <v>x</v>
      </c>
      <c r="G219" s="9">
        <f t="shared" si="10"/>
        <v>1</v>
      </c>
      <c r="H219" s="13">
        <f t="shared" si="11"/>
        <v>95.5</v>
      </c>
    </row>
    <row r="220" spans="1:8" x14ac:dyDescent="0.25">
      <c r="A220" s="2" t="str">
        <f>"APLN-14NW1"</f>
        <v>APLN-14NW1</v>
      </c>
      <c r="B220" s="2" t="str">
        <f>"APLN Deckenanbauleuchte, LED, 14W, 4000K, Gehäuse weiß"</f>
        <v>APLN Deckenanbauleuchte, LED, 14W, 4000K, Gehäuse weiß</v>
      </c>
      <c r="C220" s="16">
        <v>95</v>
      </c>
      <c r="D220" s="11">
        <v>159</v>
      </c>
      <c r="E220" s="7">
        <f t="shared" si="9"/>
        <v>1</v>
      </c>
      <c r="F220" s="22" t="str">
        <f>IF(ISERROR(VLOOKUP($A220,#REF!,3,0)),"x",VLOOKUP($A220,#REF!,3,FALSE))</f>
        <v>x</v>
      </c>
      <c r="G220" s="9">
        <f t="shared" si="10"/>
        <v>1</v>
      </c>
      <c r="H220" s="13">
        <f t="shared" si="11"/>
        <v>95</v>
      </c>
    </row>
    <row r="221" spans="1:8" x14ac:dyDescent="0.25">
      <c r="A221" s="2" t="str">
        <f>"APLN-14NW2"</f>
        <v>APLN-14NW2</v>
      </c>
      <c r="B221" s="2" t="str">
        <f>"APLN Deckenanbauleuchte, LED, 14W, 4000K, Gehäuse schwarz"</f>
        <v>APLN Deckenanbauleuchte, LED, 14W, 4000K, Gehäuse schwarz</v>
      </c>
      <c r="C221" s="16">
        <v>95</v>
      </c>
      <c r="D221" s="11">
        <v>159</v>
      </c>
      <c r="E221" s="7">
        <f t="shared" si="9"/>
        <v>1</v>
      </c>
      <c r="F221" s="22" t="str">
        <f>IF(ISERROR(VLOOKUP($A221,#REF!,3,0)),"x",VLOOKUP($A221,#REF!,3,FALSE))</f>
        <v>x</v>
      </c>
      <c r="G221" s="9">
        <f t="shared" si="10"/>
        <v>1</v>
      </c>
      <c r="H221" s="13">
        <f t="shared" si="11"/>
        <v>95</v>
      </c>
    </row>
    <row r="222" spans="1:8" x14ac:dyDescent="0.25">
      <c r="A222" s="2" t="str">
        <f>"APLN-14NW31"</f>
        <v>APLN-14NW31</v>
      </c>
      <c r="B222" s="2" t="str">
        <f>"APLN Pendelleuchte, LED, 14W, 4000K, inkl. Seilabhängung, Gehäuse weiß"</f>
        <v>APLN Pendelleuchte, LED, 14W, 4000K, inkl. Seilabhängung, Gehäuse weiß</v>
      </c>
      <c r="C222" s="16">
        <v>118.5</v>
      </c>
      <c r="D222" s="11">
        <v>159</v>
      </c>
      <c r="E222" s="7">
        <f t="shared" si="9"/>
        <v>1</v>
      </c>
      <c r="F222" s="22" t="str">
        <f>IF(ISERROR(VLOOKUP($A222,#REF!,3,0)),"x",VLOOKUP($A222,#REF!,3,FALSE))</f>
        <v>x</v>
      </c>
      <c r="G222" s="9">
        <f t="shared" si="10"/>
        <v>1</v>
      </c>
      <c r="H222" s="13">
        <f t="shared" si="11"/>
        <v>118.5</v>
      </c>
    </row>
    <row r="223" spans="1:8" x14ac:dyDescent="0.25">
      <c r="A223" s="2" t="str">
        <f>"APLN-14NW32"</f>
        <v>APLN-14NW32</v>
      </c>
      <c r="B223" s="2" t="str">
        <f>"APLN Pendelleuchte, LED, 14W, 4000K, inkl. Seilabhängung, Gehäuse schwarz"</f>
        <v>APLN Pendelleuchte, LED, 14W, 4000K, inkl. Seilabhängung, Gehäuse schwarz</v>
      </c>
      <c r="C223" s="16">
        <v>118.5</v>
      </c>
      <c r="D223" s="11">
        <v>159</v>
      </c>
      <c r="E223" s="7">
        <f t="shared" si="9"/>
        <v>1</v>
      </c>
      <c r="F223" s="22" t="str">
        <f>IF(ISERROR(VLOOKUP($A223,#REF!,3,0)),"x",VLOOKUP($A223,#REF!,3,FALSE))</f>
        <v>x</v>
      </c>
      <c r="G223" s="9">
        <f t="shared" si="10"/>
        <v>1</v>
      </c>
      <c r="H223" s="13">
        <f t="shared" si="11"/>
        <v>118.5</v>
      </c>
    </row>
    <row r="224" spans="1:8" x14ac:dyDescent="0.25">
      <c r="A224" s="2" t="str">
        <f>"APLN-14WW1"</f>
        <v>APLN-14WW1</v>
      </c>
      <c r="B224" s="2" t="str">
        <f>"APLN Deckenanbauleuchte, LED, 14W, 3000K, Gehäuse weiß"</f>
        <v>APLN Deckenanbauleuchte, LED, 14W, 3000K, Gehäuse weiß</v>
      </c>
      <c r="C224" s="16">
        <v>95</v>
      </c>
      <c r="D224" s="11">
        <v>159</v>
      </c>
      <c r="E224" s="7">
        <f t="shared" si="9"/>
        <v>1</v>
      </c>
      <c r="F224" s="22" t="str">
        <f>IF(ISERROR(VLOOKUP($A224,#REF!,3,0)),"x",VLOOKUP($A224,#REF!,3,FALSE))</f>
        <v>x</v>
      </c>
      <c r="G224" s="9">
        <f t="shared" si="10"/>
        <v>1</v>
      </c>
      <c r="H224" s="13">
        <f t="shared" si="11"/>
        <v>95</v>
      </c>
    </row>
    <row r="225" spans="1:8" x14ac:dyDescent="0.25">
      <c r="A225" s="2" t="str">
        <f>"APLN-14WW2"</f>
        <v>APLN-14WW2</v>
      </c>
      <c r="B225" s="2" t="str">
        <f>"APLN Deckenanbauleuchte, LED, 14W, 3000K, Gehäuse schwarz"</f>
        <v>APLN Deckenanbauleuchte, LED, 14W, 3000K, Gehäuse schwarz</v>
      </c>
      <c r="C225" s="16">
        <v>95</v>
      </c>
      <c r="D225" s="11">
        <v>159</v>
      </c>
      <c r="E225" s="7">
        <f t="shared" si="9"/>
        <v>1</v>
      </c>
      <c r="F225" s="22" t="str">
        <f>IF(ISERROR(VLOOKUP($A225,#REF!,3,0)),"x",VLOOKUP($A225,#REF!,3,FALSE))</f>
        <v>x</v>
      </c>
      <c r="G225" s="9">
        <f t="shared" si="10"/>
        <v>1</v>
      </c>
      <c r="H225" s="13">
        <f t="shared" si="11"/>
        <v>95</v>
      </c>
    </row>
    <row r="226" spans="1:8" x14ac:dyDescent="0.25">
      <c r="A226" s="2" t="str">
        <f>"APLN-14WW31"</f>
        <v>APLN-14WW31</v>
      </c>
      <c r="B226" s="2" t="str">
        <f>"APLN Pendelleuchte, LED, 14W, 3000K, inkl. Seilabhängung, Gehäuse weiß"</f>
        <v>APLN Pendelleuchte, LED, 14W, 3000K, inkl. Seilabhängung, Gehäuse weiß</v>
      </c>
      <c r="C226" s="16">
        <v>118.5</v>
      </c>
      <c r="D226" s="11">
        <v>159</v>
      </c>
      <c r="E226" s="7">
        <f t="shared" si="9"/>
        <v>1</v>
      </c>
      <c r="F226" s="22" t="str">
        <f>IF(ISERROR(VLOOKUP($A226,#REF!,3,0)),"x",VLOOKUP($A226,#REF!,3,FALSE))</f>
        <v>x</v>
      </c>
      <c r="G226" s="9">
        <f t="shared" si="10"/>
        <v>1</v>
      </c>
      <c r="H226" s="13">
        <f t="shared" si="11"/>
        <v>118.5</v>
      </c>
    </row>
    <row r="227" spans="1:8" x14ac:dyDescent="0.25">
      <c r="A227" s="2" t="str">
        <f>"APLN-14WW32"</f>
        <v>APLN-14WW32</v>
      </c>
      <c r="B227" s="2" t="str">
        <f>"APLN Pendelleuchte, LED, 14W, 3000K, inkl. Seilabhängung, Gehäuse schwarz"</f>
        <v>APLN Pendelleuchte, LED, 14W, 3000K, inkl. Seilabhängung, Gehäuse schwarz</v>
      </c>
      <c r="C227" s="16">
        <v>117.5</v>
      </c>
      <c r="D227" s="11">
        <v>159</v>
      </c>
      <c r="E227" s="7">
        <f t="shared" si="9"/>
        <v>1</v>
      </c>
      <c r="F227" s="22" t="str">
        <f>IF(ISERROR(VLOOKUP($A227,#REF!,3,0)),"x",VLOOKUP($A227,#REF!,3,FALSE))</f>
        <v>x</v>
      </c>
      <c r="G227" s="9">
        <f t="shared" si="10"/>
        <v>1</v>
      </c>
      <c r="H227" s="13">
        <f t="shared" si="11"/>
        <v>117.5</v>
      </c>
    </row>
    <row r="228" spans="1:8" x14ac:dyDescent="0.25">
      <c r="A228" s="2" t="str">
        <f>"APLN-24NW1"</f>
        <v>APLN-24NW1</v>
      </c>
      <c r="B228" s="2" t="str">
        <f>"APLN Deckenanbauleuchte, LED, 24W, 4000K, Gehäuse weiß"</f>
        <v>APLN Deckenanbauleuchte, LED, 24W, 4000K, Gehäuse weiß</v>
      </c>
      <c r="C228" s="16">
        <v>112.5</v>
      </c>
      <c r="D228" s="11">
        <v>159</v>
      </c>
      <c r="E228" s="7">
        <f t="shared" si="9"/>
        <v>1</v>
      </c>
      <c r="F228" s="22" t="str">
        <f>IF(ISERROR(VLOOKUP($A228,#REF!,3,0)),"x",VLOOKUP($A228,#REF!,3,FALSE))</f>
        <v>x</v>
      </c>
      <c r="G228" s="9">
        <f t="shared" si="10"/>
        <v>1</v>
      </c>
      <c r="H228" s="13">
        <f t="shared" si="11"/>
        <v>112.5</v>
      </c>
    </row>
    <row r="229" spans="1:8" x14ac:dyDescent="0.25">
      <c r="A229" s="2" t="str">
        <f>"APLN-24NW1DD"</f>
        <v>APLN-24NW1DD</v>
      </c>
      <c r="B229" s="2" t="str">
        <f>"APLN Deckenanbauleuchte, LED, 20W, 4000K, DALI, Gehäuse weiß"</f>
        <v>APLN Deckenanbauleuchte, LED, 20W, 4000K, DALI, Gehäuse weiß</v>
      </c>
      <c r="C229" s="16">
        <v>174.5</v>
      </c>
      <c r="D229" s="11">
        <v>159</v>
      </c>
      <c r="E229" s="7">
        <f t="shared" si="9"/>
        <v>1</v>
      </c>
      <c r="F229" s="22" t="str">
        <f>IF(ISERROR(VLOOKUP($A229,#REF!,3,0)),"x",VLOOKUP($A229,#REF!,3,FALSE))</f>
        <v>x</v>
      </c>
      <c r="G229" s="9">
        <f t="shared" si="10"/>
        <v>1</v>
      </c>
      <c r="H229" s="13">
        <f t="shared" si="11"/>
        <v>174.5</v>
      </c>
    </row>
    <row r="230" spans="1:8" x14ac:dyDescent="0.25">
      <c r="A230" s="2" t="str">
        <f>"APLN-24NW2"</f>
        <v>APLN-24NW2</v>
      </c>
      <c r="B230" s="2" t="str">
        <f>"APLN Deckenanbauleuchte, LED, 24W, 4000K, Gehäuse schwarz"</f>
        <v>APLN Deckenanbauleuchte, LED, 24W, 4000K, Gehäuse schwarz</v>
      </c>
      <c r="C230" s="16">
        <v>112.5</v>
      </c>
      <c r="D230" s="11">
        <v>159</v>
      </c>
      <c r="E230" s="7">
        <f t="shared" si="9"/>
        <v>1</v>
      </c>
      <c r="F230" s="22" t="str">
        <f>IF(ISERROR(VLOOKUP($A230,#REF!,3,0)),"x",VLOOKUP($A230,#REF!,3,FALSE))</f>
        <v>x</v>
      </c>
      <c r="G230" s="9">
        <f t="shared" si="10"/>
        <v>1</v>
      </c>
      <c r="H230" s="13">
        <f t="shared" si="11"/>
        <v>112.5</v>
      </c>
    </row>
    <row r="231" spans="1:8" x14ac:dyDescent="0.25">
      <c r="A231" s="2" t="str">
        <f>"APLN-24NW2DD"</f>
        <v>APLN-24NW2DD</v>
      </c>
      <c r="B231" s="2" t="str">
        <f>"APLN Deckenanbauleuchte, LED, 20W, 4000K, DALI, Gehäuse schwarz"</f>
        <v>APLN Deckenanbauleuchte, LED, 20W, 4000K, DALI, Gehäuse schwarz</v>
      </c>
      <c r="C231" s="16">
        <v>174.5</v>
      </c>
      <c r="D231" s="11">
        <v>159</v>
      </c>
      <c r="E231" s="7">
        <f t="shared" si="9"/>
        <v>1</v>
      </c>
      <c r="F231" s="22" t="str">
        <f>IF(ISERROR(VLOOKUP($A231,#REF!,3,0)),"x",VLOOKUP($A231,#REF!,3,FALSE))</f>
        <v>x</v>
      </c>
      <c r="G231" s="9">
        <f t="shared" si="10"/>
        <v>1</v>
      </c>
      <c r="H231" s="13">
        <f t="shared" si="11"/>
        <v>174.5</v>
      </c>
    </row>
    <row r="232" spans="1:8" x14ac:dyDescent="0.25">
      <c r="A232" s="2" t="str">
        <f>"APLN-24NW31"</f>
        <v>APLN-24NW31</v>
      </c>
      <c r="B232" s="2" t="str">
        <f>"APLN Pendelleuchte, LED, 24W, 4000K, inkl. Seilabhängung, Gehäuse weiß"</f>
        <v>APLN Pendelleuchte, LED, 24W, 4000K, inkl. Seilabhängung, Gehäuse weiß</v>
      </c>
      <c r="C232" s="16">
        <v>154.5</v>
      </c>
      <c r="D232" s="11">
        <v>159</v>
      </c>
      <c r="E232" s="7">
        <f t="shared" si="9"/>
        <v>1</v>
      </c>
      <c r="F232" s="22" t="str">
        <f>IF(ISERROR(VLOOKUP($A232,#REF!,3,0)),"x",VLOOKUP($A232,#REF!,3,FALSE))</f>
        <v>x</v>
      </c>
      <c r="G232" s="9">
        <f t="shared" si="10"/>
        <v>1</v>
      </c>
      <c r="H232" s="13">
        <f t="shared" si="11"/>
        <v>154.5</v>
      </c>
    </row>
    <row r="233" spans="1:8" x14ac:dyDescent="0.25">
      <c r="A233" s="2" t="str">
        <f>"APLN-24NW32"</f>
        <v>APLN-24NW32</v>
      </c>
      <c r="B233" s="2" t="str">
        <f>"APLN Pendelleuchte, LED, 24W, 4000K, inkl. Seilabhängung, Gehäuse schwarz"</f>
        <v>APLN Pendelleuchte, LED, 24W, 4000K, inkl. Seilabhängung, Gehäuse schwarz</v>
      </c>
      <c r="C233" s="16">
        <v>154.5</v>
      </c>
      <c r="D233" s="11">
        <v>159</v>
      </c>
      <c r="E233" s="7">
        <f t="shared" si="9"/>
        <v>1</v>
      </c>
      <c r="F233" s="22" t="str">
        <f>IF(ISERROR(VLOOKUP($A233,#REF!,3,0)),"x",VLOOKUP($A233,#REF!,3,FALSE))</f>
        <v>x</v>
      </c>
      <c r="G233" s="9">
        <f t="shared" si="10"/>
        <v>1</v>
      </c>
      <c r="H233" s="13">
        <f t="shared" si="11"/>
        <v>154.5</v>
      </c>
    </row>
    <row r="234" spans="1:8" x14ac:dyDescent="0.25">
      <c r="A234" s="2" t="str">
        <f>"APLN-24WW1"</f>
        <v>APLN-24WW1</v>
      </c>
      <c r="B234" s="2" t="str">
        <f>"APLN Deckenanbauleuchte, LED, 24W, 3000K, Gehäuse weiß"</f>
        <v>APLN Deckenanbauleuchte, LED, 24W, 3000K, Gehäuse weiß</v>
      </c>
      <c r="C234" s="16">
        <v>112.5</v>
      </c>
      <c r="D234" s="11">
        <v>159</v>
      </c>
      <c r="E234" s="7">
        <f t="shared" si="9"/>
        <v>1</v>
      </c>
      <c r="F234" s="22" t="str">
        <f>IF(ISERROR(VLOOKUP($A234,#REF!,3,0)),"x",VLOOKUP($A234,#REF!,3,FALSE))</f>
        <v>x</v>
      </c>
      <c r="G234" s="9">
        <f t="shared" si="10"/>
        <v>1</v>
      </c>
      <c r="H234" s="13">
        <f t="shared" si="11"/>
        <v>112.5</v>
      </c>
    </row>
    <row r="235" spans="1:8" x14ac:dyDescent="0.25">
      <c r="A235" s="2" t="str">
        <f>"APLN-24WW1DD"</f>
        <v>APLN-24WW1DD</v>
      </c>
      <c r="B235" s="2" t="str">
        <f>"APLN Deckenanbauleuchte, LED, 20W, 3000K, DALI, Gehäuse weiß"</f>
        <v>APLN Deckenanbauleuchte, LED, 20W, 3000K, DALI, Gehäuse weiß</v>
      </c>
      <c r="C235" s="16">
        <v>174.5</v>
      </c>
      <c r="D235" s="11">
        <v>159</v>
      </c>
      <c r="E235" s="7">
        <f t="shared" si="9"/>
        <v>1</v>
      </c>
      <c r="F235" s="22" t="str">
        <f>IF(ISERROR(VLOOKUP($A235,#REF!,3,0)),"x",VLOOKUP($A235,#REF!,3,FALSE))</f>
        <v>x</v>
      </c>
      <c r="G235" s="9">
        <f t="shared" si="10"/>
        <v>1</v>
      </c>
      <c r="H235" s="13">
        <f t="shared" si="11"/>
        <v>174.5</v>
      </c>
    </row>
    <row r="236" spans="1:8" x14ac:dyDescent="0.25">
      <c r="A236" s="2" t="str">
        <f>"APLN-24WW2"</f>
        <v>APLN-24WW2</v>
      </c>
      <c r="B236" s="2" t="str">
        <f>"APLN Deckenanbauleuchte, LED, 24W, 3000K, Gehäuse schwarz"</f>
        <v>APLN Deckenanbauleuchte, LED, 24W, 3000K, Gehäuse schwarz</v>
      </c>
      <c r="C236" s="16">
        <v>112.5</v>
      </c>
      <c r="D236" s="11">
        <v>159</v>
      </c>
      <c r="E236" s="7">
        <f t="shared" si="9"/>
        <v>1</v>
      </c>
      <c r="F236" s="22" t="str">
        <f>IF(ISERROR(VLOOKUP($A236,#REF!,3,0)),"x",VLOOKUP($A236,#REF!,3,FALSE))</f>
        <v>x</v>
      </c>
      <c r="G236" s="9">
        <f t="shared" si="10"/>
        <v>1</v>
      </c>
      <c r="H236" s="13">
        <f t="shared" si="11"/>
        <v>112.5</v>
      </c>
    </row>
    <row r="237" spans="1:8" x14ac:dyDescent="0.25">
      <c r="A237" s="2" t="str">
        <f>"APLN-24WW2DD"</f>
        <v>APLN-24WW2DD</v>
      </c>
      <c r="B237" s="2" t="str">
        <f>"APLN Deckenanbauleuchte, LED, 20W, 3000K, DALI, Gehäuse schwarz"</f>
        <v>APLN Deckenanbauleuchte, LED, 20W, 3000K, DALI, Gehäuse schwarz</v>
      </c>
      <c r="C237" s="16">
        <v>174.5</v>
      </c>
      <c r="D237" s="11">
        <v>159</v>
      </c>
      <c r="E237" s="7">
        <f t="shared" si="9"/>
        <v>1</v>
      </c>
      <c r="F237" s="22" t="str">
        <f>IF(ISERROR(VLOOKUP($A237,#REF!,3,0)),"x",VLOOKUP($A237,#REF!,3,FALSE))</f>
        <v>x</v>
      </c>
      <c r="G237" s="9">
        <f t="shared" si="10"/>
        <v>1</v>
      </c>
      <c r="H237" s="13">
        <f t="shared" si="11"/>
        <v>174.5</v>
      </c>
    </row>
    <row r="238" spans="1:8" x14ac:dyDescent="0.25">
      <c r="A238" s="2" t="str">
        <f>"APLN-24WW31"</f>
        <v>APLN-24WW31</v>
      </c>
      <c r="B238" s="2" t="str">
        <f>"APLN Pendelleuchte, LED, 24W, 3000K, inkl. Seilabhängung, Gehäuse weiß"</f>
        <v>APLN Pendelleuchte, LED, 24W, 3000K, inkl. Seilabhängung, Gehäuse weiß</v>
      </c>
      <c r="C238" s="16">
        <v>154.5</v>
      </c>
      <c r="D238" s="11">
        <v>159</v>
      </c>
      <c r="E238" s="7">
        <f t="shared" si="9"/>
        <v>1</v>
      </c>
      <c r="F238" s="22" t="str">
        <f>IF(ISERROR(VLOOKUP($A238,#REF!,3,0)),"x",VLOOKUP($A238,#REF!,3,FALSE))</f>
        <v>x</v>
      </c>
      <c r="G238" s="9">
        <f t="shared" si="10"/>
        <v>1</v>
      </c>
      <c r="H238" s="13">
        <f t="shared" si="11"/>
        <v>154.5</v>
      </c>
    </row>
    <row r="239" spans="1:8" x14ac:dyDescent="0.25">
      <c r="A239" s="2" t="str">
        <f>"APLN-24WW32"</f>
        <v>APLN-24WW32</v>
      </c>
      <c r="B239" s="2" t="str">
        <f>"APLN Pendelleuchte, LED, 24W, 3000K, inkl. Seilabhängung, Gehäuse schwarz"</f>
        <v>APLN Pendelleuchte, LED, 24W, 3000K, inkl. Seilabhängung, Gehäuse schwarz</v>
      </c>
      <c r="C239" s="16">
        <v>154.5</v>
      </c>
      <c r="D239" s="11">
        <v>159</v>
      </c>
      <c r="E239" s="7">
        <f t="shared" si="9"/>
        <v>1</v>
      </c>
      <c r="F239" s="22" t="str">
        <f>IF(ISERROR(VLOOKUP($A239,#REF!,3,0)),"x",VLOOKUP($A239,#REF!,3,FALSE))</f>
        <v>x</v>
      </c>
      <c r="G239" s="9">
        <f t="shared" si="10"/>
        <v>1</v>
      </c>
      <c r="H239" s="13">
        <f t="shared" si="11"/>
        <v>154.5</v>
      </c>
    </row>
    <row r="240" spans="1:8" x14ac:dyDescent="0.25">
      <c r="A240" s="2" t="str">
        <f>"ARI-18NW08"</f>
        <v>ARI-18NW08</v>
      </c>
      <c r="B240" s="2" t="str">
        <f>"ARIA Wand-Deckenanbauleuchte, 21W LED, rund, 4000K, Ibiza sand"</f>
        <v>ARIA Wand-Deckenanbauleuchte, 21W LED, rund, 4000K, Ibiza sand</v>
      </c>
      <c r="C240" s="16">
        <v>288.25</v>
      </c>
      <c r="D240" s="11">
        <v>257</v>
      </c>
      <c r="E240" s="7">
        <f t="shared" si="9"/>
        <v>1</v>
      </c>
      <c r="F240" s="22" t="str">
        <f>IF(ISERROR(VLOOKUP($A240,#REF!,3,0)),"x",VLOOKUP($A240,#REF!,3,FALSE))</f>
        <v>x</v>
      </c>
      <c r="G240" s="9">
        <f t="shared" si="10"/>
        <v>1</v>
      </c>
      <c r="H240" s="13">
        <f t="shared" si="11"/>
        <v>288.25</v>
      </c>
    </row>
    <row r="241" spans="1:8" x14ac:dyDescent="0.25">
      <c r="A241" s="2" t="str">
        <f>"ARI-18NW1"</f>
        <v>ARI-18NW1</v>
      </c>
      <c r="B241" s="2" t="str">
        <f>"ARIA Wand-Deckenanbauleuchte, 21W LED, rund, 4000K, weiß"</f>
        <v>ARIA Wand-Deckenanbauleuchte, 21W LED, rund, 4000K, weiß</v>
      </c>
      <c r="C241" s="16">
        <v>288.25</v>
      </c>
      <c r="D241" s="11">
        <v>257</v>
      </c>
      <c r="E241" s="7">
        <f t="shared" si="9"/>
        <v>1</v>
      </c>
      <c r="F241" s="22" t="str">
        <f>IF(ISERROR(VLOOKUP($A241,#REF!,3,0)),"x",VLOOKUP($A241,#REF!,3,FALSE))</f>
        <v>x</v>
      </c>
      <c r="G241" s="9">
        <f t="shared" si="10"/>
        <v>1</v>
      </c>
      <c r="H241" s="13">
        <f t="shared" si="11"/>
        <v>288.25</v>
      </c>
    </row>
    <row r="242" spans="1:8" x14ac:dyDescent="0.25">
      <c r="A242" s="2" t="str">
        <f>"ARI-18NW6"</f>
        <v>ARI-18NW6</v>
      </c>
      <c r="B242" s="2" t="str">
        <f>"ARIA Wand-Deckenanbauleuchte, 21W LED, rund, 4000K, anthrazit"</f>
        <v>ARIA Wand-Deckenanbauleuchte, 21W LED, rund, 4000K, anthrazit</v>
      </c>
      <c r="C242" s="16">
        <v>288.25</v>
      </c>
      <c r="D242" s="11">
        <v>257</v>
      </c>
      <c r="E242" s="7">
        <f t="shared" si="9"/>
        <v>1</v>
      </c>
      <c r="F242" s="22" t="str">
        <f>IF(ISERROR(VLOOKUP($A242,#REF!,3,0)),"x",VLOOKUP($A242,#REF!,3,FALSE))</f>
        <v>x</v>
      </c>
      <c r="G242" s="9">
        <f t="shared" si="10"/>
        <v>1</v>
      </c>
      <c r="H242" s="13">
        <f t="shared" si="11"/>
        <v>288.25</v>
      </c>
    </row>
    <row r="243" spans="1:8" x14ac:dyDescent="0.25">
      <c r="A243" s="2" t="str">
        <f>"ARI-18NW7"</f>
        <v>ARI-18NW7</v>
      </c>
      <c r="B243" s="2" t="str">
        <f>"ARIA Wand-Deckenanbauleuchte, 21W LED, rund, 4000K, alugrau"</f>
        <v>ARIA Wand-Deckenanbauleuchte, 21W LED, rund, 4000K, alugrau</v>
      </c>
      <c r="C243" s="16">
        <v>288.25</v>
      </c>
      <c r="D243" s="11">
        <v>257</v>
      </c>
      <c r="E243" s="7">
        <f t="shared" si="9"/>
        <v>1</v>
      </c>
      <c r="F243" s="22" t="str">
        <f>IF(ISERROR(VLOOKUP($A243,#REF!,3,0)),"x",VLOOKUP($A243,#REF!,3,FALSE))</f>
        <v>x</v>
      </c>
      <c r="G243" s="9">
        <f t="shared" si="10"/>
        <v>1</v>
      </c>
      <c r="H243" s="13">
        <f t="shared" si="11"/>
        <v>288.25</v>
      </c>
    </row>
    <row r="244" spans="1:8" x14ac:dyDescent="0.25">
      <c r="A244" s="2" t="str">
        <f>"ARI-18WW08"</f>
        <v>ARI-18WW08</v>
      </c>
      <c r="B244" s="2" t="str">
        <f>"ARIA Wand-Deckenanbauleuchte, 21W LED, rund, 3000K, Ibiza sand"</f>
        <v>ARIA Wand-Deckenanbauleuchte, 21W LED, rund, 3000K, Ibiza sand</v>
      </c>
      <c r="C244" s="16">
        <v>288.25</v>
      </c>
      <c r="D244" s="11">
        <v>257</v>
      </c>
      <c r="E244" s="7">
        <f t="shared" si="9"/>
        <v>1</v>
      </c>
      <c r="F244" s="22" t="str">
        <f>IF(ISERROR(VLOOKUP($A244,#REF!,3,0)),"x",VLOOKUP($A244,#REF!,3,FALSE))</f>
        <v>x</v>
      </c>
      <c r="G244" s="9">
        <f t="shared" si="10"/>
        <v>1</v>
      </c>
      <c r="H244" s="13">
        <f t="shared" si="11"/>
        <v>288.25</v>
      </c>
    </row>
    <row r="245" spans="1:8" x14ac:dyDescent="0.25">
      <c r="A245" s="2" t="str">
        <f>"ARI-18WW1"</f>
        <v>ARI-18WW1</v>
      </c>
      <c r="B245" s="2" t="str">
        <f>"ARIA Wand-Deckenanbauleuchte, 21W LED, rund, 3000K, weiß"</f>
        <v>ARIA Wand-Deckenanbauleuchte, 21W LED, rund, 3000K, weiß</v>
      </c>
      <c r="C245" s="16">
        <v>288.25</v>
      </c>
      <c r="D245" s="11">
        <v>257</v>
      </c>
      <c r="E245" s="7">
        <f t="shared" si="9"/>
        <v>1</v>
      </c>
      <c r="F245" s="22" t="str">
        <f>IF(ISERROR(VLOOKUP($A245,#REF!,3,0)),"x",VLOOKUP($A245,#REF!,3,FALSE))</f>
        <v>x</v>
      </c>
      <c r="G245" s="9">
        <f t="shared" si="10"/>
        <v>1</v>
      </c>
      <c r="H245" s="13">
        <f t="shared" si="11"/>
        <v>288.25</v>
      </c>
    </row>
    <row r="246" spans="1:8" x14ac:dyDescent="0.25">
      <c r="A246" s="2" t="str">
        <f>"ARI-18WW6"</f>
        <v>ARI-18WW6</v>
      </c>
      <c r="B246" s="2" t="str">
        <f>"ARIA Wand-Deckenanbauleuchte, 21W LED, rund, 3000K, anthrazit"</f>
        <v>ARIA Wand-Deckenanbauleuchte, 21W LED, rund, 3000K, anthrazit</v>
      </c>
      <c r="C246" s="16">
        <v>288.25</v>
      </c>
      <c r="D246" s="11">
        <v>257</v>
      </c>
      <c r="E246" s="7">
        <f t="shared" si="9"/>
        <v>1</v>
      </c>
      <c r="F246" s="22" t="str">
        <f>IF(ISERROR(VLOOKUP($A246,#REF!,3,0)),"x",VLOOKUP($A246,#REF!,3,FALSE))</f>
        <v>x</v>
      </c>
      <c r="G246" s="9">
        <f t="shared" si="10"/>
        <v>1</v>
      </c>
      <c r="H246" s="13">
        <f t="shared" si="11"/>
        <v>288.25</v>
      </c>
    </row>
    <row r="247" spans="1:8" x14ac:dyDescent="0.25">
      <c r="A247" s="2" t="str">
        <f>"ARI-18WW7"</f>
        <v>ARI-18WW7</v>
      </c>
      <c r="B247" s="2" t="str">
        <f>"ARIA Wand-Deckenanbauleuchte, 21W LED, rund, 3000K, alugrau"</f>
        <v>ARIA Wand-Deckenanbauleuchte, 21W LED, rund, 3000K, alugrau</v>
      </c>
      <c r="C247" s="16">
        <v>288.25</v>
      </c>
      <c r="D247" s="11">
        <v>257</v>
      </c>
      <c r="E247" s="7">
        <f t="shared" si="9"/>
        <v>1</v>
      </c>
      <c r="F247" s="22" t="str">
        <f>IF(ISERROR(VLOOKUP($A247,#REF!,3,0)),"x",VLOOKUP($A247,#REF!,3,FALSE))</f>
        <v>x</v>
      </c>
      <c r="G247" s="9">
        <f t="shared" si="10"/>
        <v>1</v>
      </c>
      <c r="H247" s="13">
        <f t="shared" si="11"/>
        <v>288.25</v>
      </c>
    </row>
    <row r="248" spans="1:8" x14ac:dyDescent="0.25">
      <c r="A248" s="2" t="str">
        <f>"BEL-8WW2"</f>
        <v>BEL-8WW2</v>
      </c>
      <c r="B248" s="2" t="str">
        <f>"BELLA Außen-Stehleuchte, mit Akku 8W, 3200K, Auslegerarm L 1700mm"</f>
        <v>BELLA Außen-Stehleuchte, mit Akku 8W, 3200K, Auslegerarm L 1700mm</v>
      </c>
      <c r="C248" s="16">
        <v>1497.5</v>
      </c>
      <c r="D248" s="11">
        <v>323</v>
      </c>
      <c r="E248" s="7">
        <f t="shared" si="9"/>
        <v>1</v>
      </c>
      <c r="F248" s="22" t="str">
        <f>IF(ISERROR(VLOOKUP($A248,#REF!,3,0)),"x",VLOOKUP($A248,#REF!,3,FALSE))</f>
        <v>x</v>
      </c>
      <c r="G248" s="9">
        <f t="shared" si="10"/>
        <v>1</v>
      </c>
      <c r="H248" s="13">
        <f t="shared" si="11"/>
        <v>1497.5</v>
      </c>
    </row>
    <row r="249" spans="1:8" x14ac:dyDescent="0.25">
      <c r="A249" s="2" t="str">
        <f>"BEL-8WW2K"</f>
        <v>BEL-8WW2K</v>
      </c>
      <c r="B249" s="2" t="str">
        <f>"BELLA Außen-Stehleuchte, mit Kabel u. Stecker, 8W, 3000K, Auslegerarm L 1700mm"</f>
        <v>BELLA Außen-Stehleuchte, mit Kabel u. Stecker, 8W, 3000K, Auslegerarm L 1700mm</v>
      </c>
      <c r="C249" s="16">
        <v>1205</v>
      </c>
      <c r="D249" s="11">
        <v>323</v>
      </c>
      <c r="E249" s="7">
        <f t="shared" si="9"/>
        <v>1</v>
      </c>
      <c r="F249" s="22" t="str">
        <f>IF(ISERROR(VLOOKUP($A249,#REF!,3,0)),"x",VLOOKUP($A249,#REF!,3,FALSE))</f>
        <v>x</v>
      </c>
      <c r="G249" s="9">
        <f t="shared" si="10"/>
        <v>1</v>
      </c>
      <c r="H249" s="13">
        <f t="shared" si="11"/>
        <v>1205</v>
      </c>
    </row>
    <row r="250" spans="1:8" x14ac:dyDescent="0.25">
      <c r="A250" s="2" t="str">
        <f>"BLE-12WWSCW1"</f>
        <v>BLE-12WWSCW1</v>
      </c>
      <c r="B250" s="2" t="str">
        <f>"BLE Wand- und Deckenanbauleuchte eckig, LED 12W, CRI85, 3000K-6000K"</f>
        <v>BLE Wand- und Deckenanbauleuchte eckig, LED 12W, CRI85, 3000K-6000K</v>
      </c>
      <c r="C250" s="16">
        <v>70</v>
      </c>
      <c r="D250" s="11">
        <v>179</v>
      </c>
      <c r="E250" s="7">
        <f t="shared" si="9"/>
        <v>1</v>
      </c>
      <c r="F250" s="22" t="str">
        <f>IF(ISERROR(VLOOKUP($A250,#REF!,3,0)),"x",VLOOKUP($A250,#REF!,3,FALSE))</f>
        <v>x</v>
      </c>
      <c r="G250" s="9">
        <f t="shared" si="10"/>
        <v>1</v>
      </c>
      <c r="H250" s="13">
        <f t="shared" si="11"/>
        <v>70</v>
      </c>
    </row>
    <row r="251" spans="1:8" x14ac:dyDescent="0.25">
      <c r="A251" s="2" t="str">
        <f>"BLE-12WWSCW1S"</f>
        <v>BLE-12WWSCW1S</v>
      </c>
      <c r="B251" s="2" t="str">
        <f>"BLE Wand- und Deckenanbauleuchte eckig, LED 12W, 3000K-6000K, mit HF-Sensor"</f>
        <v>BLE Wand- und Deckenanbauleuchte eckig, LED 12W, 3000K-6000K, mit HF-Sensor</v>
      </c>
      <c r="C251" s="16">
        <v>100</v>
      </c>
      <c r="D251" s="11">
        <v>179</v>
      </c>
      <c r="E251" s="7">
        <f t="shared" si="9"/>
        <v>1</v>
      </c>
      <c r="F251" s="22" t="str">
        <f>IF(ISERROR(VLOOKUP($A251,#REF!,3,0)),"x",VLOOKUP($A251,#REF!,3,FALSE))</f>
        <v>x</v>
      </c>
      <c r="G251" s="9">
        <f t="shared" si="10"/>
        <v>1</v>
      </c>
      <c r="H251" s="13">
        <f t="shared" si="11"/>
        <v>100</v>
      </c>
    </row>
    <row r="252" spans="1:8" x14ac:dyDescent="0.25">
      <c r="A252" s="2" t="str">
        <f>"BLE-18WWSCW1"</f>
        <v>BLE-18WWSCW1</v>
      </c>
      <c r="B252" s="2" t="str">
        <f>"BLE Wand- und Deckenanbauleuchte eckig, LED 18W, CRI85, 3000K-6000K"</f>
        <v>BLE Wand- und Deckenanbauleuchte eckig, LED 18W, CRI85, 3000K-6000K</v>
      </c>
      <c r="C252" s="16">
        <v>85</v>
      </c>
      <c r="D252" s="11">
        <v>179</v>
      </c>
      <c r="E252" s="7">
        <f t="shared" si="9"/>
        <v>1</v>
      </c>
      <c r="F252" s="22" t="str">
        <f>IF(ISERROR(VLOOKUP($A252,#REF!,3,0)),"x",VLOOKUP($A252,#REF!,3,FALSE))</f>
        <v>x</v>
      </c>
      <c r="G252" s="9">
        <f t="shared" si="10"/>
        <v>1</v>
      </c>
      <c r="H252" s="13">
        <f t="shared" si="11"/>
        <v>85</v>
      </c>
    </row>
    <row r="253" spans="1:8" x14ac:dyDescent="0.25">
      <c r="A253" s="2" t="str">
        <f>"BLE-18WWSCW1S"</f>
        <v>BLE-18WWSCW1S</v>
      </c>
      <c r="B253" s="2" t="str">
        <f>"BLE Wand- und Deckenanbauleuchte eckig, LED 18W, 3000K-6000K, mit HF-Sensor"</f>
        <v>BLE Wand- und Deckenanbauleuchte eckig, LED 18W, 3000K-6000K, mit HF-Sensor</v>
      </c>
      <c r="C253" s="16">
        <v>115</v>
      </c>
      <c r="D253" s="11">
        <v>179</v>
      </c>
      <c r="E253" s="7">
        <f t="shared" si="9"/>
        <v>1</v>
      </c>
      <c r="F253" s="22" t="str">
        <f>IF(ISERROR(VLOOKUP($A253,#REF!,3,0)),"x",VLOOKUP($A253,#REF!,3,FALSE))</f>
        <v>x</v>
      </c>
      <c r="G253" s="9">
        <f t="shared" si="10"/>
        <v>1</v>
      </c>
      <c r="H253" s="13">
        <f t="shared" si="11"/>
        <v>115</v>
      </c>
    </row>
    <row r="254" spans="1:8" x14ac:dyDescent="0.25">
      <c r="A254" s="2" t="str">
        <f>"BLR-12WWSCW1"</f>
        <v>BLR-12WWSCW1</v>
      </c>
      <c r="B254" s="2" t="str">
        <f>"BLR Wand- und Deckenanbauleuchte rund, LED 12W, CRI85, 3000K-6000K"</f>
        <v>BLR Wand- und Deckenanbauleuchte rund, LED 12W, CRI85, 3000K-6000K</v>
      </c>
      <c r="C254" s="16">
        <v>65</v>
      </c>
      <c r="D254" s="11">
        <v>179</v>
      </c>
      <c r="E254" s="7">
        <f t="shared" si="9"/>
        <v>1</v>
      </c>
      <c r="F254" s="22" t="str">
        <f>IF(ISERROR(VLOOKUP($A254,#REF!,3,0)),"x",VLOOKUP($A254,#REF!,3,FALSE))</f>
        <v>x</v>
      </c>
      <c r="G254" s="9">
        <f t="shared" si="10"/>
        <v>1</v>
      </c>
      <c r="H254" s="13">
        <f t="shared" si="11"/>
        <v>65</v>
      </c>
    </row>
    <row r="255" spans="1:8" x14ac:dyDescent="0.25">
      <c r="A255" s="2" t="str">
        <f>"BLR-12WWSCW1S"</f>
        <v>BLR-12WWSCW1S</v>
      </c>
      <c r="B255" s="2" t="str">
        <f>"BLR Wand- und Deckenanbauleuchte rund, LED 12W, 3000K-6000K, mit HF-Sensor"</f>
        <v>BLR Wand- und Deckenanbauleuchte rund, LED 12W, 3000K-6000K, mit HF-Sensor</v>
      </c>
      <c r="C255" s="16">
        <v>95</v>
      </c>
      <c r="D255" s="11">
        <v>179</v>
      </c>
      <c r="E255" s="7">
        <f t="shared" si="9"/>
        <v>1</v>
      </c>
      <c r="F255" s="22" t="str">
        <f>IF(ISERROR(VLOOKUP($A255,#REF!,3,0)),"x",VLOOKUP($A255,#REF!,3,FALSE))</f>
        <v>x</v>
      </c>
      <c r="G255" s="9">
        <f t="shared" si="10"/>
        <v>1</v>
      </c>
      <c r="H255" s="13">
        <f t="shared" si="11"/>
        <v>95</v>
      </c>
    </row>
    <row r="256" spans="1:8" x14ac:dyDescent="0.25">
      <c r="A256" s="2" t="str">
        <f>"BLR-18WWSCW1"</f>
        <v>BLR-18WWSCW1</v>
      </c>
      <c r="B256" s="2" t="str">
        <f>"BLR Wand- und Deckenanbauleuchte rund, LED 18W, CRI85, 3000K-6000K"</f>
        <v>BLR Wand- und Deckenanbauleuchte rund, LED 18W, CRI85, 3000K-6000K</v>
      </c>
      <c r="C256" s="16">
        <v>80</v>
      </c>
      <c r="D256" s="11">
        <v>179</v>
      </c>
      <c r="E256" s="7">
        <f t="shared" si="9"/>
        <v>1</v>
      </c>
      <c r="F256" s="22" t="str">
        <f>IF(ISERROR(VLOOKUP($A256,#REF!,3,0)),"x",VLOOKUP($A256,#REF!,3,FALSE))</f>
        <v>x</v>
      </c>
      <c r="G256" s="9">
        <f t="shared" si="10"/>
        <v>1</v>
      </c>
      <c r="H256" s="13">
        <f t="shared" si="11"/>
        <v>80</v>
      </c>
    </row>
    <row r="257" spans="1:8" x14ac:dyDescent="0.25">
      <c r="A257" s="2" t="str">
        <f>"BLR-18WWSCW1S"</f>
        <v>BLR-18WWSCW1S</v>
      </c>
      <c r="B257" s="2" t="str">
        <f>"BLR Wand- und Deckenanbauleuchte rund, LED 18W, 3000K-6000K, mit HF-Sensor"</f>
        <v>BLR Wand- und Deckenanbauleuchte rund, LED 18W, 3000K-6000K, mit HF-Sensor</v>
      </c>
      <c r="C257" s="16">
        <v>110</v>
      </c>
      <c r="D257" s="11">
        <v>179</v>
      </c>
      <c r="E257" s="7">
        <f t="shared" si="9"/>
        <v>1</v>
      </c>
      <c r="F257" s="22" t="str">
        <f>IF(ISERROR(VLOOKUP($A257,#REF!,3,0)),"x",VLOOKUP($A257,#REF!,3,FALSE))</f>
        <v>x</v>
      </c>
      <c r="G257" s="9">
        <f t="shared" si="10"/>
        <v>1</v>
      </c>
      <c r="H257" s="13">
        <f t="shared" si="11"/>
        <v>110</v>
      </c>
    </row>
    <row r="258" spans="1:8" x14ac:dyDescent="0.25">
      <c r="A258" s="2" t="str">
        <f>"BLR-25WWSCW1"</f>
        <v>BLR-25WWSCW1</v>
      </c>
      <c r="B258" s="2" t="str">
        <f>"BLR Wand- und Deckenanbauleuchte rund, LED 25W, CRI85, 3000K-6000K"</f>
        <v>BLR Wand- und Deckenanbauleuchte rund, LED 25W, CRI85, 3000K-6000K</v>
      </c>
      <c r="C258" s="16">
        <v>95</v>
      </c>
      <c r="D258" s="11">
        <v>179</v>
      </c>
      <c r="E258" s="7">
        <f t="shared" si="9"/>
        <v>1</v>
      </c>
      <c r="F258" s="22" t="str">
        <f>IF(ISERROR(VLOOKUP($A258,#REF!,3,0)),"x",VLOOKUP($A258,#REF!,3,FALSE))</f>
        <v>x</v>
      </c>
      <c r="G258" s="9">
        <f t="shared" si="10"/>
        <v>1</v>
      </c>
      <c r="H258" s="13">
        <f t="shared" si="11"/>
        <v>95</v>
      </c>
    </row>
    <row r="259" spans="1:8" x14ac:dyDescent="0.25">
      <c r="A259" s="2" t="str">
        <f>"BLR-25WWSCW1S"</f>
        <v>BLR-25WWSCW1S</v>
      </c>
      <c r="B259" s="2" t="str">
        <f>"BLR Wand- und Deckenanbauleuchte rund, LED 25W, 3000K-6000K, mit HF-Sensor"</f>
        <v>BLR Wand- und Deckenanbauleuchte rund, LED 25W, 3000K-6000K, mit HF-Sensor</v>
      </c>
      <c r="C259" s="16">
        <v>125</v>
      </c>
      <c r="D259" s="11">
        <v>179</v>
      </c>
      <c r="E259" s="7">
        <f t="shared" si="9"/>
        <v>1</v>
      </c>
      <c r="F259" s="22" t="str">
        <f>IF(ISERROR(VLOOKUP($A259,#REF!,3,0)),"x",VLOOKUP($A259,#REF!,3,FALSE))</f>
        <v>x</v>
      </c>
      <c r="G259" s="9">
        <f t="shared" si="10"/>
        <v>1</v>
      </c>
      <c r="H259" s="13">
        <f t="shared" si="11"/>
        <v>125</v>
      </c>
    </row>
    <row r="260" spans="1:8" x14ac:dyDescent="0.25">
      <c r="A260" s="2" t="str">
        <f>"BLX-FBS"</f>
        <v>BLX-FBS</v>
      </c>
      <c r="B260" s="2" t="str">
        <f>"BLE-BLR Fernbedienung, für Sensor Version"</f>
        <v>BLE-BLR Fernbedienung, für Sensor Version</v>
      </c>
      <c r="C260" s="16">
        <v>23</v>
      </c>
      <c r="D260" s="11">
        <v>179</v>
      </c>
      <c r="E260" s="7">
        <f t="shared" ref="E260:E323" si="12">G260</f>
        <v>1</v>
      </c>
      <c r="F260" s="22" t="str">
        <f>IF(ISERROR(VLOOKUP($A260,#REF!,3,0)),"x",VLOOKUP($A260,#REF!,3,FALSE))</f>
        <v>x</v>
      </c>
      <c r="G260" s="9">
        <f t="shared" ref="G260:G323" si="13">IF(C260&lt;F260,1,IF(C260&gt;F260,-1,0))</f>
        <v>1</v>
      </c>
      <c r="H260" s="13">
        <f t="shared" si="11"/>
        <v>23</v>
      </c>
    </row>
    <row r="261" spans="1:8" x14ac:dyDescent="0.25">
      <c r="A261" s="2" t="str">
        <f>"BRI-40NW11"</f>
        <v>BRI-40NW11</v>
      </c>
      <c r="B261" s="2" t="str">
        <f>"LED Linear Leuchte, 3-Ph.-Adapter, 40W, 4000K, L:1150mm, weiß"</f>
        <v>LED Linear Leuchte, 3-Ph.-Adapter, 40W, 4000K, L:1150mm, weiß</v>
      </c>
      <c r="C261" s="16">
        <v>239.75</v>
      </c>
      <c r="D261" s="11">
        <v>49</v>
      </c>
      <c r="E261" s="7">
        <f t="shared" si="12"/>
        <v>1</v>
      </c>
      <c r="F261" s="22" t="str">
        <f>IF(ISERROR(VLOOKUP($A261,#REF!,3,0)),"x",VLOOKUP($A261,#REF!,3,FALSE))</f>
        <v>x</v>
      </c>
      <c r="G261" s="9">
        <f t="shared" si="13"/>
        <v>1</v>
      </c>
      <c r="H261" s="13">
        <f t="shared" si="11"/>
        <v>239.75</v>
      </c>
    </row>
    <row r="262" spans="1:8" x14ac:dyDescent="0.25">
      <c r="A262" s="2" t="str">
        <f>"BRI-40NW11DA"</f>
        <v>BRI-40NW11DA</v>
      </c>
      <c r="B262" s="2" t="str">
        <f>"LED Linear Leuchte, 3-Ph.-Adapter, 40W, 4000K, L:1150mm, weiß"</f>
        <v>LED Linear Leuchte, 3-Ph.-Adapter, 40W, 4000K, L:1150mm, weiß</v>
      </c>
      <c r="C262" s="16">
        <v>239.75</v>
      </c>
      <c r="D262" s="11">
        <v>49</v>
      </c>
      <c r="E262" s="7">
        <f t="shared" si="12"/>
        <v>1</v>
      </c>
      <c r="F262" s="22" t="str">
        <f>IF(ISERROR(VLOOKUP($A262,#REF!,3,0)),"x",VLOOKUP($A262,#REF!,3,FALSE))</f>
        <v>x</v>
      </c>
      <c r="G262" s="9">
        <f t="shared" si="13"/>
        <v>1</v>
      </c>
      <c r="H262" s="13">
        <f t="shared" ref="H262:H325" si="14">IF(F262="x",C262,F262)</f>
        <v>239.75</v>
      </c>
    </row>
    <row r="263" spans="1:8" x14ac:dyDescent="0.25">
      <c r="A263" s="2" t="str">
        <f>"BRI-40NW11F"</f>
        <v>BRI-40NW11F</v>
      </c>
      <c r="B263" s="2" t="str">
        <f>"LED Linear Leuchte, 3-Ph.-Adapter, 40W, 4000K, L:1150mm, weiß"</f>
        <v>LED Linear Leuchte, 3-Ph.-Adapter, 40W, 4000K, L:1150mm, weiß</v>
      </c>
      <c r="C263" s="16">
        <v>239.75</v>
      </c>
      <c r="D263" s="11">
        <v>49</v>
      </c>
      <c r="E263" s="7">
        <f t="shared" si="12"/>
        <v>1</v>
      </c>
      <c r="F263" s="22" t="str">
        <f>IF(ISERROR(VLOOKUP($A263,#REF!,3,0)),"x",VLOOKUP($A263,#REF!,3,FALSE))</f>
        <v>x</v>
      </c>
      <c r="G263" s="9">
        <f t="shared" si="13"/>
        <v>1</v>
      </c>
      <c r="H263" s="13">
        <f t="shared" si="14"/>
        <v>239.75</v>
      </c>
    </row>
    <row r="264" spans="1:8" x14ac:dyDescent="0.25">
      <c r="A264" s="2" t="str">
        <f>"BRI-40NW12"</f>
        <v>BRI-40NW12</v>
      </c>
      <c r="B264" s="2" t="str">
        <f>"LED Linear Leuchte, 3-Ph.-Adapter, 40W, 4000K, L:1150mm, schwarz"</f>
        <v>LED Linear Leuchte, 3-Ph.-Adapter, 40W, 4000K, L:1150mm, schwarz</v>
      </c>
      <c r="C264" s="16">
        <v>239.75</v>
      </c>
      <c r="D264" s="11">
        <v>49</v>
      </c>
      <c r="E264" s="7">
        <f t="shared" si="12"/>
        <v>1</v>
      </c>
      <c r="F264" s="22" t="str">
        <f>IF(ISERROR(VLOOKUP($A264,#REF!,3,0)),"x",VLOOKUP($A264,#REF!,3,FALSE))</f>
        <v>x</v>
      </c>
      <c r="G264" s="9">
        <f t="shared" si="13"/>
        <v>1</v>
      </c>
      <c r="H264" s="13">
        <f t="shared" si="14"/>
        <v>239.75</v>
      </c>
    </row>
    <row r="265" spans="1:8" x14ac:dyDescent="0.25">
      <c r="A265" s="2" t="str">
        <f>"BRI-40NW12DA"</f>
        <v>BRI-40NW12DA</v>
      </c>
      <c r="B265" s="2" t="str">
        <f>"LED Linear Leuchte 3-Ph.-Adapter, 40W, 4000K, L:1150mm, schwarz"</f>
        <v>LED Linear Leuchte 3-Ph.-Adapter, 40W, 4000K, L:1150mm, schwarz</v>
      </c>
      <c r="C265" s="16">
        <v>239.75</v>
      </c>
      <c r="D265" s="11">
        <v>49</v>
      </c>
      <c r="E265" s="7">
        <f t="shared" si="12"/>
        <v>1</v>
      </c>
      <c r="F265" s="22" t="str">
        <f>IF(ISERROR(VLOOKUP($A265,#REF!,3,0)),"x",VLOOKUP($A265,#REF!,3,FALSE))</f>
        <v>x</v>
      </c>
      <c r="G265" s="9">
        <f t="shared" si="13"/>
        <v>1</v>
      </c>
      <c r="H265" s="13">
        <f t="shared" si="14"/>
        <v>239.75</v>
      </c>
    </row>
    <row r="266" spans="1:8" x14ac:dyDescent="0.25">
      <c r="A266" s="2" t="str">
        <f>"BRI-40NW12F"</f>
        <v>BRI-40NW12F</v>
      </c>
      <c r="B266" s="2" t="str">
        <f>"LED Linear Leuchte 3-Ph.-Adapter, 40W, 4000K, L:1150mm, schwarz"</f>
        <v>LED Linear Leuchte 3-Ph.-Adapter, 40W, 4000K, L:1150mm, schwarz</v>
      </c>
      <c r="C266" s="16">
        <v>239.75</v>
      </c>
      <c r="D266" s="11">
        <v>49</v>
      </c>
      <c r="E266" s="7">
        <f t="shared" si="12"/>
        <v>1</v>
      </c>
      <c r="F266" s="22" t="str">
        <f>IF(ISERROR(VLOOKUP($A266,#REF!,3,0)),"x",VLOOKUP($A266,#REF!,3,FALSE))</f>
        <v>x</v>
      </c>
      <c r="G266" s="9">
        <f t="shared" si="13"/>
        <v>1</v>
      </c>
      <c r="H266" s="13">
        <f t="shared" si="14"/>
        <v>239.75</v>
      </c>
    </row>
    <row r="267" spans="1:8" x14ac:dyDescent="0.25">
      <c r="A267" s="2" t="str">
        <f>"BRI-40WW11"</f>
        <v>BRI-40WW11</v>
      </c>
      <c r="B267" s="2" t="str">
        <f>"LED Linear Leuchte, 3-Ph.-Adapter, 40W, 3000K, L:1150mm, weiß"</f>
        <v>LED Linear Leuchte, 3-Ph.-Adapter, 40W, 3000K, L:1150mm, weiß</v>
      </c>
      <c r="C267" s="16">
        <v>239.75</v>
      </c>
      <c r="D267" s="11">
        <v>49</v>
      </c>
      <c r="E267" s="7">
        <f t="shared" si="12"/>
        <v>1</v>
      </c>
      <c r="F267" s="22" t="str">
        <f>IF(ISERROR(VLOOKUP($A267,#REF!,3,0)),"x",VLOOKUP($A267,#REF!,3,FALSE))</f>
        <v>x</v>
      </c>
      <c r="G267" s="9">
        <f t="shared" si="13"/>
        <v>1</v>
      </c>
      <c r="H267" s="13">
        <f t="shared" si="14"/>
        <v>239.75</v>
      </c>
    </row>
    <row r="268" spans="1:8" x14ac:dyDescent="0.25">
      <c r="A268" s="2" t="str">
        <f>"BRI-40WW11DA"</f>
        <v>BRI-40WW11DA</v>
      </c>
      <c r="B268" s="2" t="str">
        <f>"LED Linear Leuchte, 3-Ph.-Adapter, 40W, 3000K, L:1150mm, weiß"</f>
        <v>LED Linear Leuchte, 3-Ph.-Adapter, 40W, 3000K, L:1150mm, weiß</v>
      </c>
      <c r="C268" s="16">
        <v>239.75</v>
      </c>
      <c r="D268" s="11">
        <v>49</v>
      </c>
      <c r="E268" s="7">
        <f t="shared" si="12"/>
        <v>1</v>
      </c>
      <c r="F268" s="22" t="str">
        <f>IF(ISERROR(VLOOKUP($A268,#REF!,3,0)),"x",VLOOKUP($A268,#REF!,3,FALSE))</f>
        <v>x</v>
      </c>
      <c r="G268" s="9">
        <f t="shared" si="13"/>
        <v>1</v>
      </c>
      <c r="H268" s="13">
        <f t="shared" si="14"/>
        <v>239.75</v>
      </c>
    </row>
    <row r="269" spans="1:8" x14ac:dyDescent="0.25">
      <c r="A269" s="2" t="str">
        <f>"BRI-40WW11F"</f>
        <v>BRI-40WW11F</v>
      </c>
      <c r="B269" s="2" t="str">
        <f>"LED Linear Leuchte, 3-Ph.-Adapter, 40W, 3000K, L:1150mm, weiß"</f>
        <v>LED Linear Leuchte, 3-Ph.-Adapter, 40W, 3000K, L:1150mm, weiß</v>
      </c>
      <c r="C269" s="16">
        <v>239.75</v>
      </c>
      <c r="D269" s="11">
        <v>49</v>
      </c>
      <c r="E269" s="7">
        <f t="shared" si="12"/>
        <v>1</v>
      </c>
      <c r="F269" s="22" t="str">
        <f>IF(ISERROR(VLOOKUP($A269,#REF!,3,0)),"x",VLOOKUP($A269,#REF!,3,FALSE))</f>
        <v>x</v>
      </c>
      <c r="G269" s="9">
        <f t="shared" si="13"/>
        <v>1</v>
      </c>
      <c r="H269" s="13">
        <f t="shared" si="14"/>
        <v>239.75</v>
      </c>
    </row>
    <row r="270" spans="1:8" x14ac:dyDescent="0.25">
      <c r="A270" s="2" t="str">
        <f>"BRI-40WW12"</f>
        <v>BRI-40WW12</v>
      </c>
      <c r="B270" s="2" t="str">
        <f>"LED Linear Leuchte, 3-Ph.-Adapter, 40W, 3000K, L:1150mm, schwarz"</f>
        <v>LED Linear Leuchte, 3-Ph.-Adapter, 40W, 3000K, L:1150mm, schwarz</v>
      </c>
      <c r="C270" s="16">
        <v>239.75</v>
      </c>
      <c r="D270" s="11">
        <v>49</v>
      </c>
      <c r="E270" s="7">
        <f t="shared" si="12"/>
        <v>1</v>
      </c>
      <c r="F270" s="22" t="str">
        <f>IF(ISERROR(VLOOKUP($A270,#REF!,3,0)),"x",VLOOKUP($A270,#REF!,3,FALSE))</f>
        <v>x</v>
      </c>
      <c r="G270" s="9">
        <f t="shared" si="13"/>
        <v>1</v>
      </c>
      <c r="H270" s="13">
        <f t="shared" si="14"/>
        <v>239.75</v>
      </c>
    </row>
    <row r="271" spans="1:8" x14ac:dyDescent="0.25">
      <c r="A271" s="2" t="str">
        <f>"BRI-40WW12DA"</f>
        <v>BRI-40WW12DA</v>
      </c>
      <c r="B271" s="2" t="str">
        <f>"LED Linear Leuchte 3-Ph.-Adapter, 40W, 3000K, L:1150mm, schwarz"</f>
        <v>LED Linear Leuchte 3-Ph.-Adapter, 40W, 3000K, L:1150mm, schwarz</v>
      </c>
      <c r="C271" s="16">
        <v>239.75</v>
      </c>
      <c r="D271" s="11">
        <v>49</v>
      </c>
      <c r="E271" s="7">
        <f t="shared" si="12"/>
        <v>1</v>
      </c>
      <c r="F271" s="22" t="str">
        <f>IF(ISERROR(VLOOKUP($A271,#REF!,3,0)),"x",VLOOKUP($A271,#REF!,3,FALSE))</f>
        <v>x</v>
      </c>
      <c r="G271" s="9">
        <f t="shared" si="13"/>
        <v>1</v>
      </c>
      <c r="H271" s="13">
        <f t="shared" si="14"/>
        <v>239.75</v>
      </c>
    </row>
    <row r="272" spans="1:8" x14ac:dyDescent="0.25">
      <c r="A272" s="2" t="str">
        <f>"BRI-40WW12F"</f>
        <v>BRI-40WW12F</v>
      </c>
      <c r="B272" s="2" t="str">
        <f>"LED Linear Leuchte 3-Ph.-Adapter, 40W, 3000K, L:1150mm, schwarz"</f>
        <v>LED Linear Leuchte 3-Ph.-Adapter, 40W, 3000K, L:1150mm, schwarz</v>
      </c>
      <c r="C272" s="16">
        <v>239.75</v>
      </c>
      <c r="D272" s="11">
        <v>49</v>
      </c>
      <c r="E272" s="7">
        <f t="shared" si="12"/>
        <v>1</v>
      </c>
      <c r="F272" s="22" t="str">
        <f>IF(ISERROR(VLOOKUP($A272,#REF!,3,0)),"x",VLOOKUP($A272,#REF!,3,FALSE))</f>
        <v>x</v>
      </c>
      <c r="G272" s="9">
        <f t="shared" si="13"/>
        <v>1</v>
      </c>
      <c r="H272" s="13">
        <f t="shared" si="14"/>
        <v>239.75</v>
      </c>
    </row>
    <row r="273" spans="1:8" x14ac:dyDescent="0.25">
      <c r="A273" s="2" t="str">
        <f>"BRI-60NW11"</f>
        <v>BRI-60NW11</v>
      </c>
      <c r="B273" s="2" t="str">
        <f>"LED Linear Leuchte, 3-Ph.-Adapter, 60W, 4000K, L:1150mm, weiß"</f>
        <v>LED Linear Leuchte, 3-Ph.-Adapter, 60W, 4000K, L:1150mm, weiß</v>
      </c>
      <c r="C273" s="16">
        <v>239.75</v>
      </c>
      <c r="D273" s="11">
        <v>49</v>
      </c>
      <c r="E273" s="7">
        <f t="shared" si="12"/>
        <v>1</v>
      </c>
      <c r="F273" s="22" t="str">
        <f>IF(ISERROR(VLOOKUP($A273,#REF!,3,0)),"x",VLOOKUP($A273,#REF!,3,FALSE))</f>
        <v>x</v>
      </c>
      <c r="G273" s="9">
        <f t="shared" si="13"/>
        <v>1</v>
      </c>
      <c r="H273" s="13">
        <f t="shared" si="14"/>
        <v>239.75</v>
      </c>
    </row>
    <row r="274" spans="1:8" x14ac:dyDescent="0.25">
      <c r="A274" s="2" t="str">
        <f>"BRI-60NW11DA"</f>
        <v>BRI-60NW11DA</v>
      </c>
      <c r="B274" s="2" t="str">
        <f>"LED Linear Leuchte, 3-Ph.-Adapter, 60W, 4000K, L:1150mm, weiß"</f>
        <v>LED Linear Leuchte, 3-Ph.-Adapter, 60W, 4000K, L:1150mm, weiß</v>
      </c>
      <c r="C274" s="16">
        <v>239.75</v>
      </c>
      <c r="D274" s="11">
        <v>49</v>
      </c>
      <c r="E274" s="7">
        <f t="shared" si="12"/>
        <v>1</v>
      </c>
      <c r="F274" s="22" t="str">
        <f>IF(ISERROR(VLOOKUP($A274,#REF!,3,0)),"x",VLOOKUP($A274,#REF!,3,FALSE))</f>
        <v>x</v>
      </c>
      <c r="G274" s="9">
        <f t="shared" si="13"/>
        <v>1</v>
      </c>
      <c r="H274" s="13">
        <f t="shared" si="14"/>
        <v>239.75</v>
      </c>
    </row>
    <row r="275" spans="1:8" x14ac:dyDescent="0.25">
      <c r="A275" s="2" t="str">
        <f>"BRI-60NW11F"</f>
        <v>BRI-60NW11F</v>
      </c>
      <c r="B275" s="2" t="str">
        <f>"LED Linear Leuchte, 3-Ph.-Adapter, 60W, 4000K, L:1150mm, weiß"</f>
        <v>LED Linear Leuchte, 3-Ph.-Adapter, 60W, 4000K, L:1150mm, weiß</v>
      </c>
      <c r="C275" s="16">
        <v>239.75</v>
      </c>
      <c r="D275" s="11">
        <v>49</v>
      </c>
      <c r="E275" s="7">
        <f t="shared" si="12"/>
        <v>1</v>
      </c>
      <c r="F275" s="22" t="str">
        <f>IF(ISERROR(VLOOKUP($A275,#REF!,3,0)),"x",VLOOKUP($A275,#REF!,3,FALSE))</f>
        <v>x</v>
      </c>
      <c r="G275" s="9">
        <f t="shared" si="13"/>
        <v>1</v>
      </c>
      <c r="H275" s="13">
        <f t="shared" si="14"/>
        <v>239.75</v>
      </c>
    </row>
    <row r="276" spans="1:8" x14ac:dyDescent="0.25">
      <c r="A276" s="2" t="str">
        <f>"BRI-60NW12"</f>
        <v>BRI-60NW12</v>
      </c>
      <c r="B276" s="2" t="str">
        <f>"LED Linear Leuchte, 3-Ph.-Adapter, 60W, 4000K, L:1150mm, schwarz"</f>
        <v>LED Linear Leuchte, 3-Ph.-Adapter, 60W, 4000K, L:1150mm, schwarz</v>
      </c>
      <c r="C276" s="16">
        <v>239.75</v>
      </c>
      <c r="D276" s="11">
        <v>49</v>
      </c>
      <c r="E276" s="7">
        <f t="shared" si="12"/>
        <v>1</v>
      </c>
      <c r="F276" s="22" t="str">
        <f>IF(ISERROR(VLOOKUP($A276,#REF!,3,0)),"x",VLOOKUP($A276,#REF!,3,FALSE))</f>
        <v>x</v>
      </c>
      <c r="G276" s="9">
        <f t="shared" si="13"/>
        <v>1</v>
      </c>
      <c r="H276" s="13">
        <f t="shared" si="14"/>
        <v>239.75</v>
      </c>
    </row>
    <row r="277" spans="1:8" x14ac:dyDescent="0.25">
      <c r="A277" s="2" t="str">
        <f>"BRI-60NW12DA"</f>
        <v>BRI-60NW12DA</v>
      </c>
      <c r="B277" s="2" t="str">
        <f>"LED Linear Leuchte 3-Ph.-Adapter, 60W, 4000K, L:1150mm, schwarz"</f>
        <v>LED Linear Leuchte 3-Ph.-Adapter, 60W, 4000K, L:1150mm, schwarz</v>
      </c>
      <c r="C277" s="16">
        <v>239.75</v>
      </c>
      <c r="D277" s="11">
        <v>49</v>
      </c>
      <c r="E277" s="7">
        <f t="shared" si="12"/>
        <v>1</v>
      </c>
      <c r="F277" s="22" t="str">
        <f>IF(ISERROR(VLOOKUP($A277,#REF!,3,0)),"x",VLOOKUP($A277,#REF!,3,FALSE))</f>
        <v>x</v>
      </c>
      <c r="G277" s="9">
        <f t="shared" si="13"/>
        <v>1</v>
      </c>
      <c r="H277" s="13">
        <f t="shared" si="14"/>
        <v>239.75</v>
      </c>
    </row>
    <row r="278" spans="1:8" x14ac:dyDescent="0.25">
      <c r="A278" s="2" t="str">
        <f>"BRI-60NW12F"</f>
        <v>BRI-60NW12F</v>
      </c>
      <c r="B278" s="2" t="str">
        <f>"LED Linear Leuchte 3-Ph.-Adapter, 60W, 4000K, L:1150mm, schwarz"</f>
        <v>LED Linear Leuchte 3-Ph.-Adapter, 60W, 4000K, L:1150mm, schwarz</v>
      </c>
      <c r="C278" s="16">
        <v>239.75</v>
      </c>
      <c r="D278" s="11">
        <v>49</v>
      </c>
      <c r="E278" s="7">
        <f t="shared" si="12"/>
        <v>1</v>
      </c>
      <c r="F278" s="22" t="str">
        <f>IF(ISERROR(VLOOKUP($A278,#REF!,3,0)),"x",VLOOKUP($A278,#REF!,3,FALSE))</f>
        <v>x</v>
      </c>
      <c r="G278" s="9">
        <f t="shared" si="13"/>
        <v>1</v>
      </c>
      <c r="H278" s="13">
        <f t="shared" si="14"/>
        <v>239.75</v>
      </c>
    </row>
    <row r="279" spans="1:8" x14ac:dyDescent="0.25">
      <c r="A279" s="2" t="str">
        <f>"BRI-60WW11"</f>
        <v>BRI-60WW11</v>
      </c>
      <c r="B279" s="2" t="str">
        <f>"LED Linear Leuchte, 3-Ph.-Adapter, 40W, 4000K, L:1150mm, weiß"</f>
        <v>LED Linear Leuchte, 3-Ph.-Adapter, 40W, 4000K, L:1150mm, weiß</v>
      </c>
      <c r="C279" s="16">
        <v>239.75</v>
      </c>
      <c r="D279" s="11">
        <v>49</v>
      </c>
      <c r="E279" s="7">
        <f t="shared" si="12"/>
        <v>1</v>
      </c>
      <c r="F279" s="22" t="str">
        <f>IF(ISERROR(VLOOKUP($A279,#REF!,3,0)),"x",VLOOKUP($A279,#REF!,3,FALSE))</f>
        <v>x</v>
      </c>
      <c r="G279" s="9">
        <f t="shared" si="13"/>
        <v>1</v>
      </c>
      <c r="H279" s="13">
        <f t="shared" si="14"/>
        <v>239.75</v>
      </c>
    </row>
    <row r="280" spans="1:8" x14ac:dyDescent="0.25">
      <c r="A280" s="2" t="str">
        <f>"BRI-60WW11DA"</f>
        <v>BRI-60WW11DA</v>
      </c>
      <c r="B280" s="2" t="str">
        <f>"LED Linear Leuchte, 3-Ph.-Adapter, 60W, 3000K, L:1150mm, weiß"</f>
        <v>LED Linear Leuchte, 3-Ph.-Adapter, 60W, 3000K, L:1150mm, weiß</v>
      </c>
      <c r="C280" s="16">
        <v>239.75</v>
      </c>
      <c r="D280" s="11">
        <v>49</v>
      </c>
      <c r="E280" s="7">
        <f t="shared" si="12"/>
        <v>1</v>
      </c>
      <c r="F280" s="22" t="str">
        <f>IF(ISERROR(VLOOKUP($A280,#REF!,3,0)),"x",VLOOKUP($A280,#REF!,3,FALSE))</f>
        <v>x</v>
      </c>
      <c r="G280" s="9">
        <f t="shared" si="13"/>
        <v>1</v>
      </c>
      <c r="H280" s="13">
        <f t="shared" si="14"/>
        <v>239.75</v>
      </c>
    </row>
    <row r="281" spans="1:8" x14ac:dyDescent="0.25">
      <c r="A281" s="2" t="str">
        <f>"BRI-60WW11F"</f>
        <v>BRI-60WW11F</v>
      </c>
      <c r="B281" s="2" t="str">
        <f>"LED Linear Leuchte, 3-Ph.-Adapter, 60W, 3000K, L:1150mm, weiß"</f>
        <v>LED Linear Leuchte, 3-Ph.-Adapter, 60W, 3000K, L:1150mm, weiß</v>
      </c>
      <c r="C281" s="16">
        <v>239.75</v>
      </c>
      <c r="D281" s="11">
        <v>49</v>
      </c>
      <c r="E281" s="7">
        <f t="shared" si="12"/>
        <v>1</v>
      </c>
      <c r="F281" s="22" t="str">
        <f>IF(ISERROR(VLOOKUP($A281,#REF!,3,0)),"x",VLOOKUP($A281,#REF!,3,FALSE))</f>
        <v>x</v>
      </c>
      <c r="G281" s="9">
        <f t="shared" si="13"/>
        <v>1</v>
      </c>
      <c r="H281" s="13">
        <f t="shared" si="14"/>
        <v>239.75</v>
      </c>
    </row>
    <row r="282" spans="1:8" x14ac:dyDescent="0.25">
      <c r="A282" s="2" t="str">
        <f>"BRI-60WW12"</f>
        <v>BRI-60WW12</v>
      </c>
      <c r="B282" s="2" t="str">
        <f>"LED Linear Leuchte, 3-Ph.-Adapter, 60W, 3000K, L:1150mm, schwarz"</f>
        <v>LED Linear Leuchte, 3-Ph.-Adapter, 60W, 3000K, L:1150mm, schwarz</v>
      </c>
      <c r="C282" s="16">
        <v>239.75</v>
      </c>
      <c r="D282" s="11">
        <v>49</v>
      </c>
      <c r="E282" s="7">
        <f t="shared" si="12"/>
        <v>1</v>
      </c>
      <c r="F282" s="22" t="str">
        <f>IF(ISERROR(VLOOKUP($A282,#REF!,3,0)),"x",VLOOKUP($A282,#REF!,3,FALSE))</f>
        <v>x</v>
      </c>
      <c r="G282" s="9">
        <f t="shared" si="13"/>
        <v>1</v>
      </c>
      <c r="H282" s="13">
        <f t="shared" si="14"/>
        <v>239.75</v>
      </c>
    </row>
    <row r="283" spans="1:8" x14ac:dyDescent="0.25">
      <c r="A283" s="2" t="str">
        <f>"BRI-60WW12DA"</f>
        <v>BRI-60WW12DA</v>
      </c>
      <c r="B283" s="2" t="str">
        <f>"LED Linear Leuchte 3-Ph.-Adapter, 60W, 3000K, L:1150mm, schwarz"</f>
        <v>LED Linear Leuchte 3-Ph.-Adapter, 60W, 3000K, L:1150mm, schwarz</v>
      </c>
      <c r="C283" s="16">
        <v>239.75</v>
      </c>
      <c r="D283" s="11">
        <v>49</v>
      </c>
      <c r="E283" s="7">
        <f t="shared" si="12"/>
        <v>1</v>
      </c>
      <c r="F283" s="22" t="str">
        <f>IF(ISERROR(VLOOKUP($A283,#REF!,3,0)),"x",VLOOKUP($A283,#REF!,3,FALSE))</f>
        <v>x</v>
      </c>
      <c r="G283" s="9">
        <f t="shared" si="13"/>
        <v>1</v>
      </c>
      <c r="H283" s="13">
        <f t="shared" si="14"/>
        <v>239.75</v>
      </c>
    </row>
    <row r="284" spans="1:8" x14ac:dyDescent="0.25">
      <c r="A284" s="2" t="str">
        <f>"BRI-60WW12F"</f>
        <v>BRI-60WW12F</v>
      </c>
      <c r="B284" s="2" t="str">
        <f>"LED Linear Leuchte 3-Ph.-Adapter, 60W, 3000K, L:1150mm, schwarz"</f>
        <v>LED Linear Leuchte 3-Ph.-Adapter, 60W, 3000K, L:1150mm, schwarz</v>
      </c>
      <c r="C284" s="16">
        <v>239.75</v>
      </c>
      <c r="D284" s="11">
        <v>49</v>
      </c>
      <c r="E284" s="7">
        <f t="shared" si="12"/>
        <v>1</v>
      </c>
      <c r="F284" s="22" t="str">
        <f>IF(ISERROR(VLOOKUP($A284,#REF!,3,0)),"x",VLOOKUP($A284,#REF!,3,FALSE))</f>
        <v>x</v>
      </c>
      <c r="G284" s="9">
        <f t="shared" si="13"/>
        <v>1</v>
      </c>
      <c r="H284" s="13">
        <f t="shared" si="14"/>
        <v>239.75</v>
      </c>
    </row>
    <row r="285" spans="1:8" x14ac:dyDescent="0.25">
      <c r="A285" s="2" t="str">
        <f>"BULB-A165-6W2"</f>
        <v>BULB-A165-6W2</v>
      </c>
      <c r="B285" s="2" t="str">
        <f>"LED-Birne, 6W, 2100K, E27, 230V, dimmbar, smoke, birnenförmig"</f>
        <v>LED-Birne, 6W, 2100K, E27, 230V, dimmbar, smoke, birnenförmig</v>
      </c>
      <c r="C285" s="16">
        <v>48.5</v>
      </c>
      <c r="D285" s="11">
        <v>171</v>
      </c>
      <c r="E285" s="7">
        <f t="shared" si="12"/>
        <v>1</v>
      </c>
      <c r="F285" s="22" t="str">
        <f>IF(ISERROR(VLOOKUP($A285,#REF!,3,0)),"x",VLOOKUP($A285,#REF!,3,FALSE))</f>
        <v>x</v>
      </c>
      <c r="G285" s="9">
        <f t="shared" si="13"/>
        <v>1</v>
      </c>
      <c r="H285" s="13">
        <f t="shared" si="14"/>
        <v>48.5</v>
      </c>
    </row>
    <row r="286" spans="1:8" x14ac:dyDescent="0.25">
      <c r="A286" s="2" t="str">
        <f>"BULB-A165-6W4"</f>
        <v>BULB-A165-6W4</v>
      </c>
      <c r="B286" s="2" t="str">
        <f>"LED-Birne, 6W, 2100K, E27, 230V, dimmbar, gold, birnenförmig"</f>
        <v>LED-Birne, 6W, 2100K, E27, 230V, dimmbar, gold, birnenförmig</v>
      </c>
      <c r="C286" s="16">
        <v>48.5</v>
      </c>
      <c r="D286" s="11">
        <v>171</v>
      </c>
      <c r="E286" s="7">
        <f t="shared" si="12"/>
        <v>1</v>
      </c>
      <c r="F286" s="22" t="str">
        <f>IF(ISERROR(VLOOKUP($A286,#REF!,3,0)),"x",VLOOKUP($A286,#REF!,3,FALSE))</f>
        <v>x</v>
      </c>
      <c r="G286" s="9">
        <f t="shared" si="13"/>
        <v>1</v>
      </c>
      <c r="H286" s="13">
        <f t="shared" si="14"/>
        <v>48.5</v>
      </c>
    </row>
    <row r="287" spans="1:8" x14ac:dyDescent="0.25">
      <c r="A287" s="2" t="str">
        <f>"BULB-G200-6W2"</f>
        <v>BULB-G200-6W2</v>
      </c>
      <c r="B287" s="2" t="str">
        <f>"LED-Birne, 6W, 2100K, E27, 230V, dimmbar, smoke, kugelförmig"</f>
        <v>LED-Birne, 6W, 2100K, E27, 230V, dimmbar, smoke, kugelförmig</v>
      </c>
      <c r="C287" s="16">
        <v>53.75</v>
      </c>
      <c r="D287" s="11">
        <v>171</v>
      </c>
      <c r="E287" s="7">
        <f t="shared" si="12"/>
        <v>1</v>
      </c>
      <c r="F287" s="22" t="str">
        <f>IF(ISERROR(VLOOKUP($A287,#REF!,3,0)),"x",VLOOKUP($A287,#REF!,3,FALSE))</f>
        <v>x</v>
      </c>
      <c r="G287" s="9">
        <f t="shared" si="13"/>
        <v>1</v>
      </c>
      <c r="H287" s="13">
        <f t="shared" si="14"/>
        <v>53.75</v>
      </c>
    </row>
    <row r="288" spans="1:8" x14ac:dyDescent="0.25">
      <c r="A288" s="2" t="str">
        <f>"BULB-G200-6W4"</f>
        <v>BULB-G200-6W4</v>
      </c>
      <c r="B288" s="2" t="str">
        <f>"LED-Birne, 6W, 2100K, E27, 230V, dimmbar, gold, kugelförmig"</f>
        <v>LED-Birne, 6W, 2100K, E27, 230V, dimmbar, gold, kugelförmig</v>
      </c>
      <c r="C288" s="16">
        <v>53.75</v>
      </c>
      <c r="D288" s="11">
        <v>171</v>
      </c>
      <c r="E288" s="7">
        <f t="shared" si="12"/>
        <v>1</v>
      </c>
      <c r="F288" s="22" t="str">
        <f>IF(ISERROR(VLOOKUP($A288,#REF!,3,0)),"x",VLOOKUP($A288,#REF!,3,FALSE))</f>
        <v>x</v>
      </c>
      <c r="G288" s="9">
        <f t="shared" si="13"/>
        <v>1</v>
      </c>
      <c r="H288" s="13">
        <f t="shared" si="14"/>
        <v>53.75</v>
      </c>
    </row>
    <row r="289" spans="1:8" x14ac:dyDescent="0.25">
      <c r="A289" s="2" t="str">
        <f>"BULB-ST164-6W2"</f>
        <v>BULB-ST164-6W2</v>
      </c>
      <c r="B289" s="2" t="str">
        <f>"LED-Birne, 6W, 2100K, E27, 230V, dimmbar, smoke, kegelförmig"</f>
        <v>LED-Birne, 6W, 2100K, E27, 230V, dimmbar, smoke, kegelförmig</v>
      </c>
      <c r="C289" s="16">
        <v>48.5</v>
      </c>
      <c r="D289" s="11">
        <v>171</v>
      </c>
      <c r="E289" s="7">
        <f t="shared" si="12"/>
        <v>1</v>
      </c>
      <c r="F289" s="22" t="str">
        <f>IF(ISERROR(VLOOKUP($A289,#REF!,3,0)),"x",VLOOKUP($A289,#REF!,3,FALSE))</f>
        <v>x</v>
      </c>
      <c r="G289" s="9">
        <f t="shared" si="13"/>
        <v>1</v>
      </c>
      <c r="H289" s="13">
        <f t="shared" si="14"/>
        <v>48.5</v>
      </c>
    </row>
    <row r="290" spans="1:8" x14ac:dyDescent="0.25">
      <c r="A290" s="2" t="str">
        <f>"BULB-ST164-6W4"</f>
        <v>BULB-ST164-6W4</v>
      </c>
      <c r="B290" s="2" t="str">
        <f>"LED-Birne, 6W, 2100K, E27, 230V, dimmbar, gold, kegelförmig"</f>
        <v>LED-Birne, 6W, 2100K, E27, 230V, dimmbar, gold, kegelförmig</v>
      </c>
      <c r="C290" s="16">
        <v>48.5</v>
      </c>
      <c r="D290" s="11">
        <v>171</v>
      </c>
      <c r="E290" s="7">
        <f t="shared" si="12"/>
        <v>1</v>
      </c>
      <c r="F290" s="22" t="str">
        <f>IF(ISERROR(VLOOKUP($A290,#REF!,3,0)),"x",VLOOKUP($A290,#REF!,3,FALSE))</f>
        <v>x</v>
      </c>
      <c r="G290" s="9">
        <f t="shared" si="13"/>
        <v>1</v>
      </c>
      <c r="H290" s="13">
        <f t="shared" si="14"/>
        <v>48.5</v>
      </c>
    </row>
    <row r="291" spans="1:8" x14ac:dyDescent="0.25">
      <c r="A291" s="2" t="str">
        <f>"BULB-T65-6W2"</f>
        <v>BULB-T65-6W2</v>
      </c>
      <c r="B291" s="2" t="str">
        <f>"LED-Birne, 6W, 2100K, E27, 230V, dimmbar, smoke, röhrenformig"</f>
        <v>LED-Birne, 6W, 2100K, E27, 230V, dimmbar, smoke, röhrenformig</v>
      </c>
      <c r="C291" s="16">
        <v>41.75</v>
      </c>
      <c r="D291" s="11">
        <v>171</v>
      </c>
      <c r="E291" s="7">
        <f t="shared" si="12"/>
        <v>1</v>
      </c>
      <c r="F291" s="22" t="str">
        <f>IF(ISERROR(VLOOKUP($A291,#REF!,3,0)),"x",VLOOKUP($A291,#REF!,3,FALSE))</f>
        <v>x</v>
      </c>
      <c r="G291" s="9">
        <f t="shared" si="13"/>
        <v>1</v>
      </c>
      <c r="H291" s="13">
        <f t="shared" si="14"/>
        <v>41.75</v>
      </c>
    </row>
    <row r="292" spans="1:8" x14ac:dyDescent="0.25">
      <c r="A292" s="2" t="str">
        <f>"BULB-T65-6W4"</f>
        <v>BULB-T65-6W4</v>
      </c>
      <c r="B292" s="2" t="str">
        <f>"LED-Birne, 6W, 2100K, E27, 230V, dimmbar, gold, röhrenformig"</f>
        <v>LED-Birne, 6W, 2100K, E27, 230V, dimmbar, gold, röhrenformig</v>
      </c>
      <c r="C292" s="16">
        <v>41.75</v>
      </c>
      <c r="D292" s="11">
        <v>171</v>
      </c>
      <c r="E292" s="7">
        <f t="shared" si="12"/>
        <v>1</v>
      </c>
      <c r="F292" s="22" t="str">
        <f>IF(ISERROR(VLOOKUP($A292,#REF!,3,0)),"x",VLOOKUP($A292,#REF!,3,FALSE))</f>
        <v>x</v>
      </c>
      <c r="G292" s="9">
        <f t="shared" si="13"/>
        <v>1</v>
      </c>
      <c r="H292" s="13">
        <f t="shared" si="14"/>
        <v>41.75</v>
      </c>
    </row>
    <row r="293" spans="1:8" x14ac:dyDescent="0.25">
      <c r="A293" s="2" t="str">
        <f>"BWL-30NW1"</f>
        <v>BWL-30NW1</v>
      </c>
      <c r="B293" s="2" t="str">
        <f>"BWL Einbaudownlight, LED 27W, 4000K, 750mA, 30°, Gehäuse weiß mit weißem Ring"</f>
        <v>BWL Einbaudownlight, LED 27W, 4000K, 750mA, 30°, Gehäuse weiß mit weißem Ring</v>
      </c>
      <c r="C293" s="16">
        <v>166.25</v>
      </c>
      <c r="D293" s="11">
        <v>109</v>
      </c>
      <c r="E293" s="7">
        <f t="shared" si="12"/>
        <v>1</v>
      </c>
      <c r="F293" s="22" t="str">
        <f>IF(ISERROR(VLOOKUP($A293,#REF!,3,0)),"x",VLOOKUP($A293,#REF!,3,FALSE))</f>
        <v>x</v>
      </c>
      <c r="G293" s="9">
        <f t="shared" si="13"/>
        <v>1</v>
      </c>
      <c r="H293" s="13">
        <f t="shared" si="14"/>
        <v>166.25</v>
      </c>
    </row>
    <row r="294" spans="1:8" x14ac:dyDescent="0.25">
      <c r="A294" s="2" t="str">
        <f>"BWL-30NW1-2"</f>
        <v>BWL-30NW1-2</v>
      </c>
      <c r="B294" s="2" t="str">
        <f>"BWL Einbaudownlight, LED 27W, 4000K, 750mA, 30°, Gehäuse weiß mit schwarz. Ring"</f>
        <v>BWL Einbaudownlight, LED 27W, 4000K, 750mA, 30°, Gehäuse weiß mit schwarz. Ring</v>
      </c>
      <c r="C294" s="16">
        <v>166.25</v>
      </c>
      <c r="D294" s="11">
        <v>109</v>
      </c>
      <c r="E294" s="7">
        <f t="shared" si="12"/>
        <v>1</v>
      </c>
      <c r="F294" s="22" t="str">
        <f>IF(ISERROR(VLOOKUP($A294,#REF!,3,0)),"x",VLOOKUP($A294,#REF!,3,FALSE))</f>
        <v>x</v>
      </c>
      <c r="G294" s="9">
        <f t="shared" si="13"/>
        <v>1</v>
      </c>
      <c r="H294" s="13">
        <f t="shared" si="14"/>
        <v>166.25</v>
      </c>
    </row>
    <row r="295" spans="1:8" x14ac:dyDescent="0.25">
      <c r="A295" s="2" t="str">
        <f>"BWL-30NW1-2F"</f>
        <v>BWL-30NW1-2F</v>
      </c>
      <c r="B295" s="2" t="str">
        <f>"BWL Einbaudownlight, LED 27W, 4000K, 750mA, 60°, Gehäuse weiß mit schwarz. Ring"</f>
        <v>BWL Einbaudownlight, LED 27W, 4000K, 750mA, 60°, Gehäuse weiß mit schwarz. Ring</v>
      </c>
      <c r="C295" s="16">
        <v>166.25</v>
      </c>
      <c r="D295" s="11">
        <v>109</v>
      </c>
      <c r="E295" s="7">
        <f t="shared" si="12"/>
        <v>1</v>
      </c>
      <c r="F295" s="22" t="str">
        <f>IF(ISERROR(VLOOKUP($A295,#REF!,3,0)),"x",VLOOKUP($A295,#REF!,3,FALSE))</f>
        <v>x</v>
      </c>
      <c r="G295" s="9">
        <f t="shared" si="13"/>
        <v>1</v>
      </c>
      <c r="H295" s="13">
        <f t="shared" si="14"/>
        <v>166.25</v>
      </c>
    </row>
    <row r="296" spans="1:8" x14ac:dyDescent="0.25">
      <c r="A296" s="2" t="str">
        <f>"BWL-30NW1F"</f>
        <v>BWL-30NW1F</v>
      </c>
      <c r="B296" s="2" t="str">
        <f>"BWL Einbaudownlight, LED 27W, 4000K, 750mA, 60°, Gehäuse weiß mit weißem Ring"</f>
        <v>BWL Einbaudownlight, LED 27W, 4000K, 750mA, 60°, Gehäuse weiß mit weißem Ring</v>
      </c>
      <c r="C296" s="16">
        <v>166.25</v>
      </c>
      <c r="D296" s="11">
        <v>109</v>
      </c>
      <c r="E296" s="7">
        <f t="shared" si="12"/>
        <v>1</v>
      </c>
      <c r="F296" s="22" t="str">
        <f>IF(ISERROR(VLOOKUP($A296,#REF!,3,0)),"x",VLOOKUP($A296,#REF!,3,FALSE))</f>
        <v>x</v>
      </c>
      <c r="G296" s="9">
        <f t="shared" si="13"/>
        <v>1</v>
      </c>
      <c r="H296" s="13">
        <f t="shared" si="14"/>
        <v>166.25</v>
      </c>
    </row>
    <row r="297" spans="1:8" x14ac:dyDescent="0.25">
      <c r="A297" s="2" t="str">
        <f>"BWL-30NW2"</f>
        <v>BWL-30NW2</v>
      </c>
      <c r="B297" s="2" t="str">
        <f>"BWL Einbaudownlight, LED 27W, 4000K, 750mA, 30°, Gehäuse und Ring schwarz"</f>
        <v>BWL Einbaudownlight, LED 27W, 4000K, 750mA, 30°, Gehäuse und Ring schwarz</v>
      </c>
      <c r="C297" s="16">
        <v>166.25</v>
      </c>
      <c r="D297" s="11">
        <v>109</v>
      </c>
      <c r="E297" s="7">
        <f t="shared" si="12"/>
        <v>1</v>
      </c>
      <c r="F297" s="22" t="str">
        <f>IF(ISERROR(VLOOKUP($A297,#REF!,3,0)),"x",VLOOKUP($A297,#REF!,3,FALSE))</f>
        <v>x</v>
      </c>
      <c r="G297" s="9">
        <f t="shared" si="13"/>
        <v>1</v>
      </c>
      <c r="H297" s="13">
        <f t="shared" si="14"/>
        <v>166.25</v>
      </c>
    </row>
    <row r="298" spans="1:8" x14ac:dyDescent="0.25">
      <c r="A298" s="2" t="str">
        <f>"BWL-30NW2-1"</f>
        <v>BWL-30NW2-1</v>
      </c>
      <c r="B298" s="2" t="str">
        <f>"BWL Einbaudownlight, LED 27W, 4000K, 750mA, 30°, Gehäuse schwarz, weißer Ring"</f>
        <v>BWL Einbaudownlight, LED 27W, 4000K, 750mA, 30°, Gehäuse schwarz, weißer Ring</v>
      </c>
      <c r="C298" s="16">
        <v>166.25</v>
      </c>
      <c r="D298" s="11">
        <v>109</v>
      </c>
      <c r="E298" s="7">
        <f t="shared" si="12"/>
        <v>1</v>
      </c>
      <c r="F298" s="22" t="str">
        <f>IF(ISERROR(VLOOKUP($A298,#REF!,3,0)),"x",VLOOKUP($A298,#REF!,3,FALSE))</f>
        <v>x</v>
      </c>
      <c r="G298" s="9">
        <f t="shared" si="13"/>
        <v>1</v>
      </c>
      <c r="H298" s="13">
        <f t="shared" si="14"/>
        <v>166.25</v>
      </c>
    </row>
    <row r="299" spans="1:8" x14ac:dyDescent="0.25">
      <c r="A299" s="2" t="str">
        <f>"BWL-30NW2-1F"</f>
        <v>BWL-30NW2-1F</v>
      </c>
      <c r="B299" s="2" t="str">
        <f>"BWL Einbaudownlight, LED 27W, 4000K, 750mA, 60°, Gehäuse schwarz, weißer Ring"</f>
        <v>BWL Einbaudownlight, LED 27W, 4000K, 750mA, 60°, Gehäuse schwarz, weißer Ring</v>
      </c>
      <c r="C299" s="16">
        <v>166.25</v>
      </c>
      <c r="D299" s="11">
        <v>109</v>
      </c>
      <c r="E299" s="7">
        <f t="shared" si="12"/>
        <v>1</v>
      </c>
      <c r="F299" s="22" t="str">
        <f>IF(ISERROR(VLOOKUP($A299,#REF!,3,0)),"x",VLOOKUP($A299,#REF!,3,FALSE))</f>
        <v>x</v>
      </c>
      <c r="G299" s="9">
        <f t="shared" si="13"/>
        <v>1</v>
      </c>
      <c r="H299" s="13">
        <f t="shared" si="14"/>
        <v>166.25</v>
      </c>
    </row>
    <row r="300" spans="1:8" x14ac:dyDescent="0.25">
      <c r="A300" s="2" t="str">
        <f>"BWL-30NW2F"</f>
        <v>BWL-30NW2F</v>
      </c>
      <c r="B300" s="2" t="str">
        <f>"BWL Einbaudownlight, LED 27W, 4000K, 750mA, 60°, Gehäuse und Ring schwarz"</f>
        <v>BWL Einbaudownlight, LED 27W, 4000K, 750mA, 60°, Gehäuse und Ring schwarz</v>
      </c>
      <c r="C300" s="16">
        <v>166.25</v>
      </c>
      <c r="D300" s="11">
        <v>109</v>
      </c>
      <c r="E300" s="7">
        <f t="shared" si="12"/>
        <v>1</v>
      </c>
      <c r="F300" s="22" t="str">
        <f>IF(ISERROR(VLOOKUP($A300,#REF!,3,0)),"x",VLOOKUP($A300,#REF!,3,FALSE))</f>
        <v>x</v>
      </c>
      <c r="G300" s="9">
        <f t="shared" si="13"/>
        <v>1</v>
      </c>
      <c r="H300" s="13">
        <f t="shared" si="14"/>
        <v>166.25</v>
      </c>
    </row>
    <row r="301" spans="1:8" x14ac:dyDescent="0.25">
      <c r="A301" s="2" t="str">
        <f>"BWL-30SW1"</f>
        <v>BWL-30SW1</v>
      </c>
      <c r="B301" s="2" t="str">
        <f>"BWL Einbaudownlight, LED 27W, 2700K, 750 mA, 30°, Gehäuse weiß m. weißem Ring"</f>
        <v>BWL Einbaudownlight, LED 27W, 2700K, 750 mA, 30°, Gehäuse weiß m. weißem Ring</v>
      </c>
      <c r="C301" s="16">
        <v>166.25</v>
      </c>
      <c r="D301" s="11">
        <v>109</v>
      </c>
      <c r="E301" s="7">
        <f t="shared" si="12"/>
        <v>1</v>
      </c>
      <c r="F301" s="22" t="str">
        <f>IF(ISERROR(VLOOKUP($A301,#REF!,3,0)),"x",VLOOKUP($A301,#REF!,3,FALSE))</f>
        <v>x</v>
      </c>
      <c r="G301" s="9">
        <f t="shared" si="13"/>
        <v>1</v>
      </c>
      <c r="H301" s="13">
        <f t="shared" si="14"/>
        <v>166.25</v>
      </c>
    </row>
    <row r="302" spans="1:8" x14ac:dyDescent="0.25">
      <c r="A302" s="2" t="str">
        <f>"BWL-30SW1-2"</f>
        <v>BWL-30SW1-2</v>
      </c>
      <c r="B302" s="2" t="str">
        <f>"BWL Einbaudownlight, LED 27W, 2700K, 750mA, 30°, Gehäuse weiß m. schwarzem Ring"</f>
        <v>BWL Einbaudownlight, LED 27W, 2700K, 750mA, 30°, Gehäuse weiß m. schwarzem Ring</v>
      </c>
      <c r="C302" s="16">
        <v>166.25</v>
      </c>
      <c r="D302" s="11">
        <v>109</v>
      </c>
      <c r="E302" s="7">
        <f t="shared" si="12"/>
        <v>1</v>
      </c>
      <c r="F302" s="22" t="str">
        <f>IF(ISERROR(VLOOKUP($A302,#REF!,3,0)),"x",VLOOKUP($A302,#REF!,3,FALSE))</f>
        <v>x</v>
      </c>
      <c r="G302" s="9">
        <f t="shared" si="13"/>
        <v>1</v>
      </c>
      <c r="H302" s="13">
        <f t="shared" si="14"/>
        <v>166.25</v>
      </c>
    </row>
    <row r="303" spans="1:8" x14ac:dyDescent="0.25">
      <c r="A303" s="2" t="str">
        <f>"BWL-30SW1-2F"</f>
        <v>BWL-30SW1-2F</v>
      </c>
      <c r="B303" s="2" t="str">
        <f>"BWL Einbaudownlight, LED 27W, 2700K, 750mA, 60°, Gehäuse weiß m. schwarzem Ring"</f>
        <v>BWL Einbaudownlight, LED 27W, 2700K, 750mA, 60°, Gehäuse weiß m. schwarzem Ring</v>
      </c>
      <c r="C303" s="16">
        <v>166.25</v>
      </c>
      <c r="D303" s="11">
        <v>109</v>
      </c>
      <c r="E303" s="7">
        <f t="shared" si="12"/>
        <v>1</v>
      </c>
      <c r="F303" s="22" t="str">
        <f>IF(ISERROR(VLOOKUP($A303,#REF!,3,0)),"x",VLOOKUP($A303,#REF!,3,FALSE))</f>
        <v>x</v>
      </c>
      <c r="G303" s="9">
        <f t="shared" si="13"/>
        <v>1</v>
      </c>
      <c r="H303" s="13">
        <f t="shared" si="14"/>
        <v>166.25</v>
      </c>
    </row>
    <row r="304" spans="1:8" x14ac:dyDescent="0.25">
      <c r="A304" s="2" t="str">
        <f>"BWL-30SW1F"</f>
        <v>BWL-30SW1F</v>
      </c>
      <c r="B304" s="2" t="str">
        <f>"BWL Einbaudownlight, LED 27W, 2700K, 750 mA, 60°, Gehäuse weiß m. weißem Ring"</f>
        <v>BWL Einbaudownlight, LED 27W, 2700K, 750 mA, 60°, Gehäuse weiß m. weißem Ring</v>
      </c>
      <c r="C304" s="16">
        <v>166.25</v>
      </c>
      <c r="D304" s="11">
        <v>109</v>
      </c>
      <c r="E304" s="7">
        <f t="shared" si="12"/>
        <v>1</v>
      </c>
      <c r="F304" s="22" t="str">
        <f>IF(ISERROR(VLOOKUP($A304,#REF!,3,0)),"x",VLOOKUP($A304,#REF!,3,FALSE))</f>
        <v>x</v>
      </c>
      <c r="G304" s="9">
        <f t="shared" si="13"/>
        <v>1</v>
      </c>
      <c r="H304" s="13">
        <f t="shared" si="14"/>
        <v>166.25</v>
      </c>
    </row>
    <row r="305" spans="1:8" x14ac:dyDescent="0.25">
      <c r="A305" s="2" t="str">
        <f>"BWL-30SW2"</f>
        <v>BWL-30SW2</v>
      </c>
      <c r="B305" s="2" t="str">
        <f>"BWL Einbaudownlight, LED 27W, 2700K, 750mA, 30°, Gehäuse und Ring schwarz"</f>
        <v>BWL Einbaudownlight, LED 27W, 2700K, 750mA, 30°, Gehäuse und Ring schwarz</v>
      </c>
      <c r="C305" s="16">
        <v>166.25</v>
      </c>
      <c r="D305" s="11">
        <v>109</v>
      </c>
      <c r="E305" s="7">
        <f t="shared" si="12"/>
        <v>1</v>
      </c>
      <c r="F305" s="22" t="str">
        <f>IF(ISERROR(VLOOKUP($A305,#REF!,3,0)),"x",VLOOKUP($A305,#REF!,3,FALSE))</f>
        <v>x</v>
      </c>
      <c r="G305" s="9">
        <f t="shared" si="13"/>
        <v>1</v>
      </c>
      <c r="H305" s="13">
        <f t="shared" si="14"/>
        <v>166.25</v>
      </c>
    </row>
    <row r="306" spans="1:8" x14ac:dyDescent="0.25">
      <c r="A306" s="2" t="str">
        <f>"BWL-30SW2-1"</f>
        <v>BWL-30SW2-1</v>
      </c>
      <c r="B306" s="2" t="str">
        <f>"BWL Einbaudownlight, LED 27W, 2700K, 750mA, 30°, Gehäuse schwarz, weißer Ring"</f>
        <v>BWL Einbaudownlight, LED 27W, 2700K, 750mA, 30°, Gehäuse schwarz, weißer Ring</v>
      </c>
      <c r="C306" s="16">
        <v>166.25</v>
      </c>
      <c r="D306" s="11">
        <v>109</v>
      </c>
      <c r="E306" s="7">
        <f t="shared" si="12"/>
        <v>1</v>
      </c>
      <c r="F306" s="22" t="str">
        <f>IF(ISERROR(VLOOKUP($A306,#REF!,3,0)),"x",VLOOKUP($A306,#REF!,3,FALSE))</f>
        <v>x</v>
      </c>
      <c r="G306" s="9">
        <f t="shared" si="13"/>
        <v>1</v>
      </c>
      <c r="H306" s="13">
        <f t="shared" si="14"/>
        <v>166.25</v>
      </c>
    </row>
    <row r="307" spans="1:8" x14ac:dyDescent="0.25">
      <c r="A307" s="2" t="str">
        <f>"BWL-30SW2-1F"</f>
        <v>BWL-30SW2-1F</v>
      </c>
      <c r="B307" s="2" t="str">
        <f>"BWL Einbaudownlight, LED 27W, 2700K, 750mA, 60°, Gehäuse schwarz, weißer Ring"</f>
        <v>BWL Einbaudownlight, LED 27W, 2700K, 750mA, 60°, Gehäuse schwarz, weißer Ring</v>
      </c>
      <c r="C307" s="16">
        <v>166.25</v>
      </c>
      <c r="D307" s="11">
        <v>109</v>
      </c>
      <c r="E307" s="7">
        <f t="shared" si="12"/>
        <v>1</v>
      </c>
      <c r="F307" s="22" t="str">
        <f>IF(ISERROR(VLOOKUP($A307,#REF!,3,0)),"x",VLOOKUP($A307,#REF!,3,FALSE))</f>
        <v>x</v>
      </c>
      <c r="G307" s="9">
        <f t="shared" si="13"/>
        <v>1</v>
      </c>
      <c r="H307" s="13">
        <f t="shared" si="14"/>
        <v>166.25</v>
      </c>
    </row>
    <row r="308" spans="1:8" x14ac:dyDescent="0.25">
      <c r="A308" s="2" t="str">
        <f>"BWL-30SW2F"</f>
        <v>BWL-30SW2F</v>
      </c>
      <c r="B308" s="2" t="str">
        <f>"BWL Einbaudownlight, LED 27W, 2700K, 750mA, 60°, Gehäuse und Ring schwarz"</f>
        <v>BWL Einbaudownlight, LED 27W, 2700K, 750mA, 60°, Gehäuse und Ring schwarz</v>
      </c>
      <c r="C308" s="16">
        <v>166.25</v>
      </c>
      <c r="D308" s="11">
        <v>109</v>
      </c>
      <c r="E308" s="7">
        <f t="shared" si="12"/>
        <v>1</v>
      </c>
      <c r="F308" s="22" t="str">
        <f>IF(ISERROR(VLOOKUP($A308,#REF!,3,0)),"x",VLOOKUP($A308,#REF!,3,FALSE))</f>
        <v>x</v>
      </c>
      <c r="G308" s="9">
        <f t="shared" si="13"/>
        <v>1</v>
      </c>
      <c r="H308" s="13">
        <f t="shared" si="14"/>
        <v>166.25</v>
      </c>
    </row>
    <row r="309" spans="1:8" x14ac:dyDescent="0.25">
      <c r="A309" s="2" t="str">
        <f>"BWL-30WNW1"</f>
        <v>BWL-30WNW1</v>
      </c>
      <c r="B309" s="2" t="str">
        <f>"BWL Einbaudownlight, LED 27W, 3500K, 750 mA, 30°, Gehäuse weiß m. weißem Ring"</f>
        <v>BWL Einbaudownlight, LED 27W, 3500K, 750 mA, 30°, Gehäuse weiß m. weißem Ring</v>
      </c>
      <c r="C309" s="16">
        <v>166.25</v>
      </c>
      <c r="D309" s="11">
        <v>109</v>
      </c>
      <c r="E309" s="7">
        <f t="shared" si="12"/>
        <v>1</v>
      </c>
      <c r="F309" s="22" t="str">
        <f>IF(ISERROR(VLOOKUP($A309,#REF!,3,0)),"x",VLOOKUP($A309,#REF!,3,FALSE))</f>
        <v>x</v>
      </c>
      <c r="G309" s="9">
        <f t="shared" si="13"/>
        <v>1</v>
      </c>
      <c r="H309" s="13">
        <f t="shared" si="14"/>
        <v>166.25</v>
      </c>
    </row>
    <row r="310" spans="1:8" x14ac:dyDescent="0.25">
      <c r="A310" s="2" t="str">
        <f>"BWL-30WNW1-2"</f>
        <v>BWL-30WNW1-2</v>
      </c>
      <c r="B310" s="2" t="str">
        <f>"BWL Einbaudownlight, LED 27W, 3500K, 750mA, 30°, Gehäuse weiß m. schwarzem Ring"</f>
        <v>BWL Einbaudownlight, LED 27W, 3500K, 750mA, 30°, Gehäuse weiß m. schwarzem Ring</v>
      </c>
      <c r="C310" s="16">
        <v>166.25</v>
      </c>
      <c r="D310" s="11">
        <v>109</v>
      </c>
      <c r="E310" s="7">
        <f t="shared" si="12"/>
        <v>1</v>
      </c>
      <c r="F310" s="22" t="str">
        <f>IF(ISERROR(VLOOKUP($A310,#REF!,3,0)),"x",VLOOKUP($A310,#REF!,3,FALSE))</f>
        <v>x</v>
      </c>
      <c r="G310" s="9">
        <f t="shared" si="13"/>
        <v>1</v>
      </c>
      <c r="H310" s="13">
        <f t="shared" si="14"/>
        <v>166.25</v>
      </c>
    </row>
    <row r="311" spans="1:8" x14ac:dyDescent="0.25">
      <c r="A311" s="2" t="str">
        <f>"BWL-30WNW1-2F"</f>
        <v>BWL-30WNW1-2F</v>
      </c>
      <c r="B311" s="2" t="str">
        <f>"BWL Einbaudownlight, LED 27W, 3500K, 750mA, 60°, Gehäuse weiß m. schwarzem Ring"</f>
        <v>BWL Einbaudownlight, LED 27W, 3500K, 750mA, 60°, Gehäuse weiß m. schwarzem Ring</v>
      </c>
      <c r="C311" s="16">
        <v>166.25</v>
      </c>
      <c r="D311" s="11">
        <v>109</v>
      </c>
      <c r="E311" s="7">
        <f t="shared" si="12"/>
        <v>1</v>
      </c>
      <c r="F311" s="22" t="str">
        <f>IF(ISERROR(VLOOKUP($A311,#REF!,3,0)),"x",VLOOKUP($A311,#REF!,3,FALSE))</f>
        <v>x</v>
      </c>
      <c r="G311" s="9">
        <f t="shared" si="13"/>
        <v>1</v>
      </c>
      <c r="H311" s="13">
        <f t="shared" si="14"/>
        <v>166.25</v>
      </c>
    </row>
    <row r="312" spans="1:8" x14ac:dyDescent="0.25">
      <c r="A312" s="2" t="str">
        <f>"BWL-30WNW1F"</f>
        <v>BWL-30WNW1F</v>
      </c>
      <c r="B312" s="2" t="str">
        <f>"BWL Einbaudownlight, LED 27W, 3500K, 750 mA, 60°, Gehäuse weiß m. weißem Ring"</f>
        <v>BWL Einbaudownlight, LED 27W, 3500K, 750 mA, 60°, Gehäuse weiß m. weißem Ring</v>
      </c>
      <c r="C312" s="16">
        <v>166.25</v>
      </c>
      <c r="D312" s="11">
        <v>109</v>
      </c>
      <c r="E312" s="7">
        <f t="shared" si="12"/>
        <v>1</v>
      </c>
      <c r="F312" s="22" t="str">
        <f>IF(ISERROR(VLOOKUP($A312,#REF!,3,0)),"x",VLOOKUP($A312,#REF!,3,FALSE))</f>
        <v>x</v>
      </c>
      <c r="G312" s="9">
        <f t="shared" si="13"/>
        <v>1</v>
      </c>
      <c r="H312" s="13">
        <f t="shared" si="14"/>
        <v>166.25</v>
      </c>
    </row>
    <row r="313" spans="1:8" x14ac:dyDescent="0.25">
      <c r="A313" s="2" t="str">
        <f>"BWL-30WNW2"</f>
        <v>BWL-30WNW2</v>
      </c>
      <c r="B313" s="2" t="str">
        <f>"BWL Einbaudownlight, LED 27W, 3500K, 750mA, 30°, Gehäuse und Ring schwarz"</f>
        <v>BWL Einbaudownlight, LED 27W, 3500K, 750mA, 30°, Gehäuse und Ring schwarz</v>
      </c>
      <c r="C313" s="16">
        <v>166.25</v>
      </c>
      <c r="D313" s="11">
        <v>109</v>
      </c>
      <c r="E313" s="7">
        <f t="shared" si="12"/>
        <v>1</v>
      </c>
      <c r="F313" s="22" t="str">
        <f>IF(ISERROR(VLOOKUP($A313,#REF!,3,0)),"x",VLOOKUP($A313,#REF!,3,FALSE))</f>
        <v>x</v>
      </c>
      <c r="G313" s="9">
        <f t="shared" si="13"/>
        <v>1</v>
      </c>
      <c r="H313" s="13">
        <f t="shared" si="14"/>
        <v>166.25</v>
      </c>
    </row>
    <row r="314" spans="1:8" x14ac:dyDescent="0.25">
      <c r="A314" s="2" t="str">
        <f>"BWL-30WNW2-1"</f>
        <v>BWL-30WNW2-1</v>
      </c>
      <c r="B314" s="2" t="str">
        <f>"BWL Einbaudownlight, LED 27W, 3500K, 750mA, 30°, Gehäuse schwarz, weißer Ring"</f>
        <v>BWL Einbaudownlight, LED 27W, 3500K, 750mA, 30°, Gehäuse schwarz, weißer Ring</v>
      </c>
      <c r="C314" s="16">
        <v>166.25</v>
      </c>
      <c r="D314" s="11">
        <v>109</v>
      </c>
      <c r="E314" s="7">
        <f t="shared" si="12"/>
        <v>1</v>
      </c>
      <c r="F314" s="22" t="str">
        <f>IF(ISERROR(VLOOKUP($A314,#REF!,3,0)),"x",VLOOKUP($A314,#REF!,3,FALSE))</f>
        <v>x</v>
      </c>
      <c r="G314" s="9">
        <f t="shared" si="13"/>
        <v>1</v>
      </c>
      <c r="H314" s="13">
        <f t="shared" si="14"/>
        <v>166.25</v>
      </c>
    </row>
    <row r="315" spans="1:8" x14ac:dyDescent="0.25">
      <c r="A315" s="2" t="str">
        <f>"BWL-30WNW2-1F"</f>
        <v>BWL-30WNW2-1F</v>
      </c>
      <c r="B315" s="2" t="str">
        <f>"BWL Einbaudownlight, LED 27W, 3500K, 750mA, 60°, Gehäuse schwarz, weißer Ring"</f>
        <v>BWL Einbaudownlight, LED 27W, 3500K, 750mA, 60°, Gehäuse schwarz, weißer Ring</v>
      </c>
      <c r="C315" s="16">
        <v>166.25</v>
      </c>
      <c r="D315" s="11">
        <v>109</v>
      </c>
      <c r="E315" s="7">
        <f t="shared" si="12"/>
        <v>1</v>
      </c>
      <c r="F315" s="22" t="str">
        <f>IF(ISERROR(VLOOKUP($A315,#REF!,3,0)),"x",VLOOKUP($A315,#REF!,3,FALSE))</f>
        <v>x</v>
      </c>
      <c r="G315" s="9">
        <f t="shared" si="13"/>
        <v>1</v>
      </c>
      <c r="H315" s="13">
        <f t="shared" si="14"/>
        <v>166.25</v>
      </c>
    </row>
    <row r="316" spans="1:8" x14ac:dyDescent="0.25">
      <c r="A316" s="2" t="str">
        <f>"BWL-30WNW2F"</f>
        <v>BWL-30WNW2F</v>
      </c>
      <c r="B316" s="2" t="str">
        <f>"BWL Einbaudownlight, LED 27W, 3500K, 750mA, 60°, Gehäuse und Ring schwarz"</f>
        <v>BWL Einbaudownlight, LED 27W, 3500K, 750mA, 60°, Gehäuse und Ring schwarz</v>
      </c>
      <c r="C316" s="16">
        <v>166.25</v>
      </c>
      <c r="D316" s="11">
        <v>109</v>
      </c>
      <c r="E316" s="7">
        <f t="shared" si="12"/>
        <v>1</v>
      </c>
      <c r="F316" s="22" t="str">
        <f>IF(ISERROR(VLOOKUP($A316,#REF!,3,0)),"x",VLOOKUP($A316,#REF!,3,FALSE))</f>
        <v>x</v>
      </c>
      <c r="G316" s="9">
        <f t="shared" si="13"/>
        <v>1</v>
      </c>
      <c r="H316" s="13">
        <f t="shared" si="14"/>
        <v>166.25</v>
      </c>
    </row>
    <row r="317" spans="1:8" x14ac:dyDescent="0.25">
      <c r="A317" s="2" t="str">
        <f>"BWL-30WW1"</f>
        <v>BWL-30WW1</v>
      </c>
      <c r="B317" s="2" t="str">
        <f>"BWL Einbaudownlight, LED 27W, 3000K, 750 mA, 30°, Gehäuse weiß m. weißem Ring"</f>
        <v>BWL Einbaudownlight, LED 27W, 3000K, 750 mA, 30°, Gehäuse weiß m. weißem Ring</v>
      </c>
      <c r="C317" s="16">
        <v>166.25</v>
      </c>
      <c r="D317" s="11">
        <v>109</v>
      </c>
      <c r="E317" s="7">
        <f t="shared" si="12"/>
        <v>1</v>
      </c>
      <c r="F317" s="22" t="str">
        <f>IF(ISERROR(VLOOKUP($A317,#REF!,3,0)),"x",VLOOKUP($A317,#REF!,3,FALSE))</f>
        <v>x</v>
      </c>
      <c r="G317" s="9">
        <f t="shared" si="13"/>
        <v>1</v>
      </c>
      <c r="H317" s="13">
        <f t="shared" si="14"/>
        <v>166.25</v>
      </c>
    </row>
    <row r="318" spans="1:8" x14ac:dyDescent="0.25">
      <c r="A318" s="2" t="str">
        <f>"BWL-30WW1-2"</f>
        <v>BWL-30WW1-2</v>
      </c>
      <c r="B318" s="2" t="str">
        <f>"BWL Einbaudownlight, LED 27W, 3000K, 750mA, 30°, Gehäuse weiß m. schwarzem Ring"</f>
        <v>BWL Einbaudownlight, LED 27W, 3000K, 750mA, 30°, Gehäuse weiß m. schwarzem Ring</v>
      </c>
      <c r="C318" s="16">
        <v>166.25</v>
      </c>
      <c r="D318" s="11">
        <v>109</v>
      </c>
      <c r="E318" s="7">
        <f t="shared" si="12"/>
        <v>1</v>
      </c>
      <c r="F318" s="22" t="str">
        <f>IF(ISERROR(VLOOKUP($A318,#REF!,3,0)),"x",VLOOKUP($A318,#REF!,3,FALSE))</f>
        <v>x</v>
      </c>
      <c r="G318" s="9">
        <f t="shared" si="13"/>
        <v>1</v>
      </c>
      <c r="H318" s="13">
        <f t="shared" si="14"/>
        <v>166.25</v>
      </c>
    </row>
    <row r="319" spans="1:8" x14ac:dyDescent="0.25">
      <c r="A319" s="2" t="str">
        <f>"BWL-30WW1-2F"</f>
        <v>BWL-30WW1-2F</v>
      </c>
      <c r="B319" s="2" t="str">
        <f>"BWL Einbaudownlight, LED 27W, 3000K, 750mA, 60°, Gehäuse weiß m. schwarzem Ring"</f>
        <v>BWL Einbaudownlight, LED 27W, 3000K, 750mA, 60°, Gehäuse weiß m. schwarzem Ring</v>
      </c>
      <c r="C319" s="16">
        <v>166.25</v>
      </c>
      <c r="D319" s="11">
        <v>109</v>
      </c>
      <c r="E319" s="7">
        <f t="shared" si="12"/>
        <v>1</v>
      </c>
      <c r="F319" s="22" t="str">
        <f>IF(ISERROR(VLOOKUP($A319,#REF!,3,0)),"x",VLOOKUP($A319,#REF!,3,FALSE))</f>
        <v>x</v>
      </c>
      <c r="G319" s="9">
        <f t="shared" si="13"/>
        <v>1</v>
      </c>
      <c r="H319" s="13">
        <f t="shared" si="14"/>
        <v>166.25</v>
      </c>
    </row>
    <row r="320" spans="1:8" x14ac:dyDescent="0.25">
      <c r="A320" s="2" t="str">
        <f>"BWL-30WW1F"</f>
        <v>BWL-30WW1F</v>
      </c>
      <c r="B320" s="2" t="str">
        <f>"BWL Einbaudownlight, LED 27W, 3000K, 750 mA, 60°, Gehäuse weiß m. weißem Ring"</f>
        <v>BWL Einbaudownlight, LED 27W, 3000K, 750 mA, 60°, Gehäuse weiß m. weißem Ring</v>
      </c>
      <c r="C320" s="16">
        <v>166.25</v>
      </c>
      <c r="D320" s="11">
        <v>109</v>
      </c>
      <c r="E320" s="7">
        <f t="shared" si="12"/>
        <v>1</v>
      </c>
      <c r="F320" s="22" t="str">
        <f>IF(ISERROR(VLOOKUP($A320,#REF!,3,0)),"x",VLOOKUP($A320,#REF!,3,FALSE))</f>
        <v>x</v>
      </c>
      <c r="G320" s="9">
        <f t="shared" si="13"/>
        <v>1</v>
      </c>
      <c r="H320" s="13">
        <f t="shared" si="14"/>
        <v>166.25</v>
      </c>
    </row>
    <row r="321" spans="1:8" x14ac:dyDescent="0.25">
      <c r="A321" s="2" t="str">
        <f>"BWL-30WW2"</f>
        <v>BWL-30WW2</v>
      </c>
      <c r="B321" s="2" t="str">
        <f>"BWL Einbaudownlight, LED 27W, 3000K, 750mA, 30°, Gehäuse und Ring schwarz"</f>
        <v>BWL Einbaudownlight, LED 27W, 3000K, 750mA, 30°, Gehäuse und Ring schwarz</v>
      </c>
      <c r="C321" s="16">
        <v>166.25</v>
      </c>
      <c r="D321" s="11">
        <v>109</v>
      </c>
      <c r="E321" s="7">
        <f t="shared" si="12"/>
        <v>1</v>
      </c>
      <c r="F321" s="22" t="str">
        <f>IF(ISERROR(VLOOKUP($A321,#REF!,3,0)),"x",VLOOKUP($A321,#REF!,3,FALSE))</f>
        <v>x</v>
      </c>
      <c r="G321" s="9">
        <f t="shared" si="13"/>
        <v>1</v>
      </c>
      <c r="H321" s="13">
        <f t="shared" si="14"/>
        <v>166.25</v>
      </c>
    </row>
    <row r="322" spans="1:8" x14ac:dyDescent="0.25">
      <c r="A322" s="2" t="str">
        <f>"BWL-30WW2-1"</f>
        <v>BWL-30WW2-1</v>
      </c>
      <c r="B322" s="2" t="str">
        <f>"BWL Einbaudownlight, LED 27W, 3000K, 750mA, 30°, Gehäuse schwarz, weißer Ring"</f>
        <v>BWL Einbaudownlight, LED 27W, 3000K, 750mA, 30°, Gehäuse schwarz, weißer Ring</v>
      </c>
      <c r="C322" s="16">
        <v>166.25</v>
      </c>
      <c r="D322" s="11">
        <v>109</v>
      </c>
      <c r="E322" s="7">
        <f t="shared" si="12"/>
        <v>1</v>
      </c>
      <c r="F322" s="22" t="str">
        <f>IF(ISERROR(VLOOKUP($A322,#REF!,3,0)),"x",VLOOKUP($A322,#REF!,3,FALSE))</f>
        <v>x</v>
      </c>
      <c r="G322" s="9">
        <f t="shared" si="13"/>
        <v>1</v>
      </c>
      <c r="H322" s="13">
        <f t="shared" si="14"/>
        <v>166.25</v>
      </c>
    </row>
    <row r="323" spans="1:8" x14ac:dyDescent="0.25">
      <c r="A323" s="2" t="str">
        <f>"BWL-30WW2-1F"</f>
        <v>BWL-30WW2-1F</v>
      </c>
      <c r="B323" s="2" t="str">
        <f>"BWL Einbaudownlight, LED 27W, 3000K, 750mA, 60°, Gehäuse schwarz, weißer Ring"</f>
        <v>BWL Einbaudownlight, LED 27W, 3000K, 750mA, 60°, Gehäuse schwarz, weißer Ring</v>
      </c>
      <c r="C323" s="16">
        <v>166.25</v>
      </c>
      <c r="D323" s="11">
        <v>109</v>
      </c>
      <c r="E323" s="7">
        <f t="shared" si="12"/>
        <v>1</v>
      </c>
      <c r="F323" s="22" t="str">
        <f>IF(ISERROR(VLOOKUP($A323,#REF!,3,0)),"x",VLOOKUP($A323,#REF!,3,FALSE))</f>
        <v>x</v>
      </c>
      <c r="G323" s="9">
        <f t="shared" si="13"/>
        <v>1</v>
      </c>
      <c r="H323" s="13">
        <f t="shared" si="14"/>
        <v>166.25</v>
      </c>
    </row>
    <row r="324" spans="1:8" x14ac:dyDescent="0.25">
      <c r="A324" s="2" t="str">
        <f>"BWL-30WW2F"</f>
        <v>BWL-30WW2F</v>
      </c>
      <c r="B324" s="2" t="str">
        <f>"BWL Einbaudownlight, LED 27W, 3000K, 750mA, 60°, Gehäuse und Ring schwarz"</f>
        <v>BWL Einbaudownlight, LED 27W, 3000K, 750mA, 60°, Gehäuse und Ring schwarz</v>
      </c>
      <c r="C324" s="16">
        <v>166.25</v>
      </c>
      <c r="D324" s="11">
        <v>109</v>
      </c>
      <c r="E324" s="7">
        <f t="shared" ref="E324:E387" si="15">G324</f>
        <v>1</v>
      </c>
      <c r="F324" s="22" t="str">
        <f>IF(ISERROR(VLOOKUP($A324,#REF!,3,0)),"x",VLOOKUP($A324,#REF!,3,FALSE))</f>
        <v>x</v>
      </c>
      <c r="G324" s="9">
        <f t="shared" ref="G324:G387" si="16">IF(C324&lt;F324,1,IF(C324&gt;F324,-1,0))</f>
        <v>1</v>
      </c>
      <c r="H324" s="13">
        <f t="shared" si="14"/>
        <v>166.25</v>
      </c>
    </row>
    <row r="325" spans="1:8" x14ac:dyDescent="0.25">
      <c r="A325" s="2" t="str">
        <f>"BWL-40NW1"</f>
        <v>BWL-40NW1</v>
      </c>
      <c r="B325" s="2" t="str">
        <f>"BWL Einbaudownlight, LED 41W, 4000K, 1050 mA, 30°, Gehäuse weiß m. weißem Ring"</f>
        <v>BWL Einbaudownlight, LED 41W, 4000K, 1050 mA, 30°, Gehäuse weiß m. weißem Ring</v>
      </c>
      <c r="C325" s="16">
        <v>166.25</v>
      </c>
      <c r="D325" s="11">
        <v>109</v>
      </c>
      <c r="E325" s="7">
        <f t="shared" si="15"/>
        <v>1</v>
      </c>
      <c r="F325" s="22" t="str">
        <f>IF(ISERROR(VLOOKUP($A325,#REF!,3,0)),"x",VLOOKUP($A325,#REF!,3,FALSE))</f>
        <v>x</v>
      </c>
      <c r="G325" s="9">
        <f t="shared" si="16"/>
        <v>1</v>
      </c>
      <c r="H325" s="13">
        <f t="shared" si="14"/>
        <v>166.25</v>
      </c>
    </row>
    <row r="326" spans="1:8" x14ac:dyDescent="0.25">
      <c r="A326" s="2" t="str">
        <f>"BWL-40NW1-2"</f>
        <v>BWL-40NW1-2</v>
      </c>
      <c r="B326" s="2" t="str">
        <f>"BWL Einbaudownlight, LED 41W, 4000K, 1050mA, 30°, Gehäuse weiß m. schwarz. Ring"</f>
        <v>BWL Einbaudownlight, LED 41W, 4000K, 1050mA, 30°, Gehäuse weiß m. schwarz. Ring</v>
      </c>
      <c r="C326" s="16">
        <v>166.25</v>
      </c>
      <c r="D326" s="11">
        <v>109</v>
      </c>
      <c r="E326" s="7">
        <f t="shared" si="15"/>
        <v>1</v>
      </c>
      <c r="F326" s="22" t="str">
        <f>IF(ISERROR(VLOOKUP($A326,#REF!,3,0)),"x",VLOOKUP($A326,#REF!,3,FALSE))</f>
        <v>x</v>
      </c>
      <c r="G326" s="9">
        <f t="shared" si="16"/>
        <v>1</v>
      </c>
      <c r="H326" s="13">
        <f t="shared" ref="H326:H389" si="17">IF(F326="x",C326,F326)</f>
        <v>166.25</v>
      </c>
    </row>
    <row r="327" spans="1:8" x14ac:dyDescent="0.25">
      <c r="A327" s="2" t="str">
        <f>"BWL-40NW1-2F"</f>
        <v>BWL-40NW1-2F</v>
      </c>
      <c r="B327" s="2" t="str">
        <f>"BWL Einbaudownlight, LED 41W, 4000K, 1050mA, 60°, Gehäuse weiß m. weißem Ring"</f>
        <v>BWL Einbaudownlight, LED 41W, 4000K, 1050mA, 60°, Gehäuse weiß m. weißem Ring</v>
      </c>
      <c r="C327" s="16">
        <v>166.25</v>
      </c>
      <c r="D327" s="11">
        <v>109</v>
      </c>
      <c r="E327" s="7">
        <f t="shared" si="15"/>
        <v>1</v>
      </c>
      <c r="F327" s="22" t="str">
        <f>IF(ISERROR(VLOOKUP($A327,#REF!,3,0)),"x",VLOOKUP($A327,#REF!,3,FALSE))</f>
        <v>x</v>
      </c>
      <c r="G327" s="9">
        <f t="shared" si="16"/>
        <v>1</v>
      </c>
      <c r="H327" s="13">
        <f t="shared" si="17"/>
        <v>166.25</v>
      </c>
    </row>
    <row r="328" spans="1:8" x14ac:dyDescent="0.25">
      <c r="A328" s="2" t="str">
        <f>"BWL-40NW1F"</f>
        <v>BWL-40NW1F</v>
      </c>
      <c r="B328" s="2" t="str">
        <f>"BWL Einbaudownlight, LED 41W, 4000K, 1050 mA, 60°, Gehäuse weiß m. weißem Ring"</f>
        <v>BWL Einbaudownlight, LED 41W, 4000K, 1050 mA, 60°, Gehäuse weiß m. weißem Ring</v>
      </c>
      <c r="C328" s="16">
        <v>166.25</v>
      </c>
      <c r="D328" s="11">
        <v>109</v>
      </c>
      <c r="E328" s="7">
        <f t="shared" si="15"/>
        <v>1</v>
      </c>
      <c r="F328" s="22" t="str">
        <f>IF(ISERROR(VLOOKUP($A328,#REF!,3,0)),"x",VLOOKUP($A328,#REF!,3,FALSE))</f>
        <v>x</v>
      </c>
      <c r="G328" s="9">
        <f t="shared" si="16"/>
        <v>1</v>
      </c>
      <c r="H328" s="13">
        <f t="shared" si="17"/>
        <v>166.25</v>
      </c>
    </row>
    <row r="329" spans="1:8" x14ac:dyDescent="0.25">
      <c r="A329" s="2" t="str">
        <f>"BWL-40NW2"</f>
        <v>BWL-40NW2</v>
      </c>
      <c r="B329" s="2" t="str">
        <f>"BWL Einbaudownlight, LED 41W, 4000K, 1050mA, 30°, Gehäuse und Ring schwarz"</f>
        <v>BWL Einbaudownlight, LED 41W, 4000K, 1050mA, 30°, Gehäuse und Ring schwarz</v>
      </c>
      <c r="C329" s="16">
        <v>166.25</v>
      </c>
      <c r="D329" s="11">
        <v>109</v>
      </c>
      <c r="E329" s="7">
        <f t="shared" si="15"/>
        <v>1</v>
      </c>
      <c r="F329" s="22" t="str">
        <f>IF(ISERROR(VLOOKUP($A329,#REF!,3,0)),"x",VLOOKUP($A329,#REF!,3,FALSE))</f>
        <v>x</v>
      </c>
      <c r="G329" s="9">
        <f t="shared" si="16"/>
        <v>1</v>
      </c>
      <c r="H329" s="13">
        <f t="shared" si="17"/>
        <v>166.25</v>
      </c>
    </row>
    <row r="330" spans="1:8" x14ac:dyDescent="0.25">
      <c r="A330" s="2" t="str">
        <f>"BWL-40NW2-1"</f>
        <v>BWL-40NW2-1</v>
      </c>
      <c r="B330" s="2" t="str">
        <f>"BWL Einbaudownlight, LED 41W, 4000K, 1050mA, 30°, Gehäuse schwarz, weißer Ring"</f>
        <v>BWL Einbaudownlight, LED 41W, 4000K, 1050mA, 30°, Gehäuse schwarz, weißer Ring</v>
      </c>
      <c r="C330" s="16">
        <v>166.25</v>
      </c>
      <c r="D330" s="11">
        <v>109</v>
      </c>
      <c r="E330" s="7">
        <f t="shared" si="15"/>
        <v>1</v>
      </c>
      <c r="F330" s="22" t="str">
        <f>IF(ISERROR(VLOOKUP($A330,#REF!,3,0)),"x",VLOOKUP($A330,#REF!,3,FALSE))</f>
        <v>x</v>
      </c>
      <c r="G330" s="9">
        <f t="shared" si="16"/>
        <v>1</v>
      </c>
      <c r="H330" s="13">
        <f t="shared" si="17"/>
        <v>166.25</v>
      </c>
    </row>
    <row r="331" spans="1:8" x14ac:dyDescent="0.25">
      <c r="A331" s="2" t="str">
        <f>"BWL-40NW2-1F"</f>
        <v>BWL-40NW2-1F</v>
      </c>
      <c r="B331" s="2" t="str">
        <f>"BWL Einbaudownlight, LED 41W, 4000K, 1050mA, 60°, Gehäuse schwarz, weißer Ring"</f>
        <v>BWL Einbaudownlight, LED 41W, 4000K, 1050mA, 60°, Gehäuse schwarz, weißer Ring</v>
      </c>
      <c r="C331" s="16">
        <v>166.25</v>
      </c>
      <c r="D331" s="11">
        <v>109</v>
      </c>
      <c r="E331" s="7">
        <f t="shared" si="15"/>
        <v>1</v>
      </c>
      <c r="F331" s="22" t="str">
        <f>IF(ISERROR(VLOOKUP($A331,#REF!,3,0)),"x",VLOOKUP($A331,#REF!,3,FALSE))</f>
        <v>x</v>
      </c>
      <c r="G331" s="9">
        <f t="shared" si="16"/>
        <v>1</v>
      </c>
      <c r="H331" s="13">
        <f t="shared" si="17"/>
        <v>166.25</v>
      </c>
    </row>
    <row r="332" spans="1:8" x14ac:dyDescent="0.25">
      <c r="A332" s="2" t="str">
        <f>"BWL-40NW2F"</f>
        <v>BWL-40NW2F</v>
      </c>
      <c r="B332" s="2" t="str">
        <f>"BWL Einbaudownlight, LED 41W, 4000K, 1050mA, 60°, Gehäuse und Ring schwarz"</f>
        <v>BWL Einbaudownlight, LED 41W, 4000K, 1050mA, 60°, Gehäuse und Ring schwarz</v>
      </c>
      <c r="C332" s="16">
        <v>166.25</v>
      </c>
      <c r="D332" s="11">
        <v>109</v>
      </c>
      <c r="E332" s="7">
        <f t="shared" si="15"/>
        <v>1</v>
      </c>
      <c r="F332" s="22" t="str">
        <f>IF(ISERROR(VLOOKUP($A332,#REF!,3,0)),"x",VLOOKUP($A332,#REF!,3,FALSE))</f>
        <v>x</v>
      </c>
      <c r="G332" s="9">
        <f t="shared" si="16"/>
        <v>1</v>
      </c>
      <c r="H332" s="13">
        <f t="shared" si="17"/>
        <v>166.25</v>
      </c>
    </row>
    <row r="333" spans="1:8" x14ac:dyDescent="0.25">
      <c r="A333" s="2" t="str">
        <f>"BWL-40SW1"</f>
        <v>BWL-40SW1</v>
      </c>
      <c r="B333" s="2" t="str">
        <f>"BWL Einbaudownlight, LED 41W, 2700K, 1050 mA, 30°, Gehäuse weiß m. weißem Ring"</f>
        <v>BWL Einbaudownlight, LED 41W, 2700K, 1050 mA, 30°, Gehäuse weiß m. weißem Ring</v>
      </c>
      <c r="C333" s="16">
        <v>166.25</v>
      </c>
      <c r="D333" s="11">
        <v>109</v>
      </c>
      <c r="E333" s="7">
        <f t="shared" si="15"/>
        <v>1</v>
      </c>
      <c r="F333" s="22" t="str">
        <f>IF(ISERROR(VLOOKUP($A333,#REF!,3,0)),"x",VLOOKUP($A333,#REF!,3,FALSE))</f>
        <v>x</v>
      </c>
      <c r="G333" s="9">
        <f t="shared" si="16"/>
        <v>1</v>
      </c>
      <c r="H333" s="13">
        <f t="shared" si="17"/>
        <v>166.25</v>
      </c>
    </row>
    <row r="334" spans="1:8" x14ac:dyDescent="0.25">
      <c r="A334" s="2" t="str">
        <f>"BWL-40SW1-2"</f>
        <v>BWL-40SW1-2</v>
      </c>
      <c r="B334" s="2" t="str">
        <f>"BWL Einbaudownlight, LED 41W, 2700K, 1050mA, 30°, Gehäuse weiß m. schwarz. Ring"</f>
        <v>BWL Einbaudownlight, LED 41W, 2700K, 1050mA, 30°, Gehäuse weiß m. schwarz. Ring</v>
      </c>
      <c r="C334" s="16">
        <v>166.25</v>
      </c>
      <c r="D334" s="11">
        <v>109</v>
      </c>
      <c r="E334" s="7">
        <f t="shared" si="15"/>
        <v>1</v>
      </c>
      <c r="F334" s="22" t="str">
        <f>IF(ISERROR(VLOOKUP($A334,#REF!,3,0)),"x",VLOOKUP($A334,#REF!,3,FALSE))</f>
        <v>x</v>
      </c>
      <c r="G334" s="9">
        <f t="shared" si="16"/>
        <v>1</v>
      </c>
      <c r="H334" s="13">
        <f t="shared" si="17"/>
        <v>166.25</v>
      </c>
    </row>
    <row r="335" spans="1:8" x14ac:dyDescent="0.25">
      <c r="A335" s="2" t="str">
        <f>"BWL-40SW1-2F"</f>
        <v>BWL-40SW1-2F</v>
      </c>
      <c r="B335" s="2" t="str">
        <f>"BWL Einbaudownlight, LED 41W, 2700K, 1050mA, 60°, Gehäuse weiß m. schwarz. Ring"</f>
        <v>BWL Einbaudownlight, LED 41W, 2700K, 1050mA, 60°, Gehäuse weiß m. schwarz. Ring</v>
      </c>
      <c r="C335" s="16">
        <v>166.25</v>
      </c>
      <c r="D335" s="11">
        <v>109</v>
      </c>
      <c r="E335" s="7">
        <f t="shared" si="15"/>
        <v>1</v>
      </c>
      <c r="F335" s="22" t="str">
        <f>IF(ISERROR(VLOOKUP($A335,#REF!,3,0)),"x",VLOOKUP($A335,#REF!,3,FALSE))</f>
        <v>x</v>
      </c>
      <c r="G335" s="9">
        <f t="shared" si="16"/>
        <v>1</v>
      </c>
      <c r="H335" s="13">
        <f t="shared" si="17"/>
        <v>166.25</v>
      </c>
    </row>
    <row r="336" spans="1:8" x14ac:dyDescent="0.25">
      <c r="A336" s="2" t="str">
        <f>"BWL-40SW1F"</f>
        <v>BWL-40SW1F</v>
      </c>
      <c r="B336" s="2" t="str">
        <f>"BWL Einbaudownlight, LED 41W, 2700K, 1050 mA, 60°, Gehäuse weiß m. weißem Ring"</f>
        <v>BWL Einbaudownlight, LED 41W, 2700K, 1050 mA, 60°, Gehäuse weiß m. weißem Ring</v>
      </c>
      <c r="C336" s="16">
        <v>166.25</v>
      </c>
      <c r="D336" s="11">
        <v>109</v>
      </c>
      <c r="E336" s="7">
        <f t="shared" si="15"/>
        <v>1</v>
      </c>
      <c r="F336" s="22" t="str">
        <f>IF(ISERROR(VLOOKUP($A336,#REF!,3,0)),"x",VLOOKUP($A336,#REF!,3,FALSE))</f>
        <v>x</v>
      </c>
      <c r="G336" s="9">
        <f t="shared" si="16"/>
        <v>1</v>
      </c>
      <c r="H336" s="13">
        <f t="shared" si="17"/>
        <v>166.25</v>
      </c>
    </row>
    <row r="337" spans="1:8" x14ac:dyDescent="0.25">
      <c r="A337" s="2" t="str">
        <f>"BWL-40SW2"</f>
        <v>BWL-40SW2</v>
      </c>
      <c r="B337" s="2" t="str">
        <f>"BWL Einbaudownlight, LED 41W, 2700K, 1050mA, 30°, Gehäuse und Ring schwarz"</f>
        <v>BWL Einbaudownlight, LED 41W, 2700K, 1050mA, 30°, Gehäuse und Ring schwarz</v>
      </c>
      <c r="C337" s="16">
        <v>166.25</v>
      </c>
      <c r="D337" s="11">
        <v>109</v>
      </c>
      <c r="E337" s="7">
        <f t="shared" si="15"/>
        <v>1</v>
      </c>
      <c r="F337" s="22" t="str">
        <f>IF(ISERROR(VLOOKUP($A337,#REF!,3,0)),"x",VLOOKUP($A337,#REF!,3,FALSE))</f>
        <v>x</v>
      </c>
      <c r="G337" s="9">
        <f t="shared" si="16"/>
        <v>1</v>
      </c>
      <c r="H337" s="13">
        <f t="shared" si="17"/>
        <v>166.25</v>
      </c>
    </row>
    <row r="338" spans="1:8" x14ac:dyDescent="0.25">
      <c r="A338" s="2" t="str">
        <f>"BWL-40SW2-1"</f>
        <v>BWL-40SW2-1</v>
      </c>
      <c r="B338" s="2" t="str">
        <f>"BWL Einbaudownlight, LED 41W, 2700K, 1050mA, 30°, Gehäuse und Ring schwarz"</f>
        <v>BWL Einbaudownlight, LED 41W, 2700K, 1050mA, 30°, Gehäuse und Ring schwarz</v>
      </c>
      <c r="C338" s="16">
        <v>166.25</v>
      </c>
      <c r="D338" s="11">
        <v>109</v>
      </c>
      <c r="E338" s="7">
        <f t="shared" si="15"/>
        <v>1</v>
      </c>
      <c r="F338" s="22" t="str">
        <f>IF(ISERROR(VLOOKUP($A338,#REF!,3,0)),"x",VLOOKUP($A338,#REF!,3,FALSE))</f>
        <v>x</v>
      </c>
      <c r="G338" s="9">
        <f t="shared" si="16"/>
        <v>1</v>
      </c>
      <c r="H338" s="13">
        <f t="shared" si="17"/>
        <v>166.25</v>
      </c>
    </row>
    <row r="339" spans="1:8" x14ac:dyDescent="0.25">
      <c r="A339" s="2" t="str">
        <f>"BWL-40SW2-1F"</f>
        <v>BWL-40SW2-1F</v>
      </c>
      <c r="B339" s="2" t="str">
        <f>"BWL Einbaudownlight, LED 41W, 2700K, 1050mA, 60°, Gehäuse schwarz, weißer Ring"</f>
        <v>BWL Einbaudownlight, LED 41W, 2700K, 1050mA, 60°, Gehäuse schwarz, weißer Ring</v>
      </c>
      <c r="C339" s="16">
        <v>166.25</v>
      </c>
      <c r="D339" s="11">
        <v>109</v>
      </c>
      <c r="E339" s="7">
        <f t="shared" si="15"/>
        <v>1</v>
      </c>
      <c r="F339" s="22" t="str">
        <f>IF(ISERROR(VLOOKUP($A339,#REF!,3,0)),"x",VLOOKUP($A339,#REF!,3,FALSE))</f>
        <v>x</v>
      </c>
      <c r="G339" s="9">
        <f t="shared" si="16"/>
        <v>1</v>
      </c>
      <c r="H339" s="13">
        <f t="shared" si="17"/>
        <v>166.25</v>
      </c>
    </row>
    <row r="340" spans="1:8" x14ac:dyDescent="0.25">
      <c r="A340" s="2" t="str">
        <f>"BWL-40SW2F"</f>
        <v>BWL-40SW2F</v>
      </c>
      <c r="B340" s="2" t="str">
        <f>"BWL Einbaudownlight, LED 41W, 2700K, 1050mA, 60°, Gehäuse und Ring schwarz"</f>
        <v>BWL Einbaudownlight, LED 41W, 2700K, 1050mA, 60°, Gehäuse und Ring schwarz</v>
      </c>
      <c r="C340" s="16">
        <v>166.25</v>
      </c>
      <c r="D340" s="11">
        <v>109</v>
      </c>
      <c r="E340" s="7">
        <f t="shared" si="15"/>
        <v>1</v>
      </c>
      <c r="F340" s="22" t="str">
        <f>IF(ISERROR(VLOOKUP($A340,#REF!,3,0)),"x",VLOOKUP($A340,#REF!,3,FALSE))</f>
        <v>x</v>
      </c>
      <c r="G340" s="9">
        <f t="shared" si="16"/>
        <v>1</v>
      </c>
      <c r="H340" s="13">
        <f t="shared" si="17"/>
        <v>166.25</v>
      </c>
    </row>
    <row r="341" spans="1:8" x14ac:dyDescent="0.25">
      <c r="A341" s="2" t="str">
        <f>"BWL-40WNW1"</f>
        <v>BWL-40WNW1</v>
      </c>
      <c r="B341" s="2" t="str">
        <f>"BWL Einbaudownlight, LED 41W, 3500K, 1050 mA, 30°, Gehäuse weiß m. weißem Ring"</f>
        <v>BWL Einbaudownlight, LED 41W, 3500K, 1050 mA, 30°, Gehäuse weiß m. weißem Ring</v>
      </c>
      <c r="C341" s="16">
        <v>166.25</v>
      </c>
      <c r="D341" s="11">
        <v>109</v>
      </c>
      <c r="E341" s="7">
        <f t="shared" si="15"/>
        <v>1</v>
      </c>
      <c r="F341" s="22" t="str">
        <f>IF(ISERROR(VLOOKUP($A341,#REF!,3,0)),"x",VLOOKUP($A341,#REF!,3,FALSE))</f>
        <v>x</v>
      </c>
      <c r="G341" s="9">
        <f t="shared" si="16"/>
        <v>1</v>
      </c>
      <c r="H341" s="13">
        <f t="shared" si="17"/>
        <v>166.25</v>
      </c>
    </row>
    <row r="342" spans="1:8" x14ac:dyDescent="0.25">
      <c r="A342" s="2" t="str">
        <f>"BWL-40WNW1-2"</f>
        <v>BWL-40WNW1-2</v>
      </c>
      <c r="B342" s="2" t="str">
        <f>"BWL Einbaudownlight, LED 41W, 3500K, 1050mA, 30°, Gehäuse weiß m. schwarz. Ring"</f>
        <v>BWL Einbaudownlight, LED 41W, 3500K, 1050mA, 30°, Gehäuse weiß m. schwarz. Ring</v>
      </c>
      <c r="C342" s="16">
        <v>166.25</v>
      </c>
      <c r="D342" s="11">
        <v>109</v>
      </c>
      <c r="E342" s="7">
        <f t="shared" si="15"/>
        <v>1</v>
      </c>
      <c r="F342" s="22" t="str">
        <f>IF(ISERROR(VLOOKUP($A342,#REF!,3,0)),"x",VLOOKUP($A342,#REF!,3,FALSE))</f>
        <v>x</v>
      </c>
      <c r="G342" s="9">
        <f t="shared" si="16"/>
        <v>1</v>
      </c>
      <c r="H342" s="13">
        <f t="shared" si="17"/>
        <v>166.25</v>
      </c>
    </row>
    <row r="343" spans="1:8" x14ac:dyDescent="0.25">
      <c r="A343" s="2" t="str">
        <f>"BWL-40WNW1-2F"</f>
        <v>BWL-40WNW1-2F</v>
      </c>
      <c r="B343" s="2" t="str">
        <f>"BWL Einbaudownlight, LED 41W, 3500K, 1050mA, 60°, Gehäuse weiß m. schwarz. Ring"</f>
        <v>BWL Einbaudownlight, LED 41W, 3500K, 1050mA, 60°, Gehäuse weiß m. schwarz. Ring</v>
      </c>
      <c r="C343" s="16">
        <v>166.25</v>
      </c>
      <c r="D343" s="11">
        <v>109</v>
      </c>
      <c r="E343" s="7">
        <f t="shared" si="15"/>
        <v>1</v>
      </c>
      <c r="F343" s="22" t="str">
        <f>IF(ISERROR(VLOOKUP($A343,#REF!,3,0)),"x",VLOOKUP($A343,#REF!,3,FALSE))</f>
        <v>x</v>
      </c>
      <c r="G343" s="9">
        <f t="shared" si="16"/>
        <v>1</v>
      </c>
      <c r="H343" s="13">
        <f t="shared" si="17"/>
        <v>166.25</v>
      </c>
    </row>
    <row r="344" spans="1:8" x14ac:dyDescent="0.25">
      <c r="A344" s="2" t="str">
        <f>"BWL-40WNW1F"</f>
        <v>BWL-40WNW1F</v>
      </c>
      <c r="B344" s="2" t="str">
        <f>"BWL Einbaudownlight, LED 41W, 3500K, 1050 mA, 60°, Gehäuse weiß m. weißem Ring"</f>
        <v>BWL Einbaudownlight, LED 41W, 3500K, 1050 mA, 60°, Gehäuse weiß m. weißem Ring</v>
      </c>
      <c r="C344" s="16">
        <v>166.25</v>
      </c>
      <c r="D344" s="11">
        <v>109</v>
      </c>
      <c r="E344" s="7">
        <f t="shared" si="15"/>
        <v>1</v>
      </c>
      <c r="F344" s="22" t="str">
        <f>IF(ISERROR(VLOOKUP($A344,#REF!,3,0)),"x",VLOOKUP($A344,#REF!,3,FALSE))</f>
        <v>x</v>
      </c>
      <c r="G344" s="9">
        <f t="shared" si="16"/>
        <v>1</v>
      </c>
      <c r="H344" s="13">
        <f t="shared" si="17"/>
        <v>166.25</v>
      </c>
    </row>
    <row r="345" spans="1:8" x14ac:dyDescent="0.25">
      <c r="A345" s="2" t="str">
        <f>"BWL-40WNW2"</f>
        <v>BWL-40WNW2</v>
      </c>
      <c r="B345" s="2" t="str">
        <f>"BWL Einbaudownlight, LED 41W, 3500K, 1050mA, 30°, Gehäuse und Ring schwarz"</f>
        <v>BWL Einbaudownlight, LED 41W, 3500K, 1050mA, 30°, Gehäuse und Ring schwarz</v>
      </c>
      <c r="C345" s="16">
        <v>166.25</v>
      </c>
      <c r="D345" s="11">
        <v>109</v>
      </c>
      <c r="E345" s="7">
        <f t="shared" si="15"/>
        <v>1</v>
      </c>
      <c r="F345" s="22" t="str">
        <f>IF(ISERROR(VLOOKUP($A345,#REF!,3,0)),"x",VLOOKUP($A345,#REF!,3,FALSE))</f>
        <v>x</v>
      </c>
      <c r="G345" s="9">
        <f t="shared" si="16"/>
        <v>1</v>
      </c>
      <c r="H345" s="13">
        <f t="shared" si="17"/>
        <v>166.25</v>
      </c>
    </row>
    <row r="346" spans="1:8" x14ac:dyDescent="0.25">
      <c r="A346" s="2" t="str">
        <f>"BWL-40WNW2-1"</f>
        <v>BWL-40WNW2-1</v>
      </c>
      <c r="B346" s="2" t="str">
        <f>"BWL Einbaudownlight, LED 41W, 3500K, 1050mA, 30°, Gehäuse schwarz, weißer Ring"</f>
        <v>BWL Einbaudownlight, LED 41W, 3500K, 1050mA, 30°, Gehäuse schwarz, weißer Ring</v>
      </c>
      <c r="C346" s="16">
        <v>166.25</v>
      </c>
      <c r="D346" s="11">
        <v>109</v>
      </c>
      <c r="E346" s="7">
        <f t="shared" si="15"/>
        <v>1</v>
      </c>
      <c r="F346" s="22" t="str">
        <f>IF(ISERROR(VLOOKUP($A346,#REF!,3,0)),"x",VLOOKUP($A346,#REF!,3,FALSE))</f>
        <v>x</v>
      </c>
      <c r="G346" s="9">
        <f t="shared" si="16"/>
        <v>1</v>
      </c>
      <c r="H346" s="13">
        <f t="shared" si="17"/>
        <v>166.25</v>
      </c>
    </row>
    <row r="347" spans="1:8" x14ac:dyDescent="0.25">
      <c r="A347" s="2" t="str">
        <f>"BWL-40WNW2-1F"</f>
        <v>BWL-40WNW2-1F</v>
      </c>
      <c r="B347" s="2" t="str">
        <f>"BWL Einbaudownlight, LED 41W, 3500K, 1050mA, 60°, Gehäuse schwarz, weißer Ring"</f>
        <v>BWL Einbaudownlight, LED 41W, 3500K, 1050mA, 60°, Gehäuse schwarz, weißer Ring</v>
      </c>
      <c r="C347" s="16">
        <v>166.25</v>
      </c>
      <c r="D347" s="11">
        <v>109</v>
      </c>
      <c r="E347" s="7">
        <f t="shared" si="15"/>
        <v>1</v>
      </c>
      <c r="F347" s="22" t="str">
        <f>IF(ISERROR(VLOOKUP($A347,#REF!,3,0)),"x",VLOOKUP($A347,#REF!,3,FALSE))</f>
        <v>x</v>
      </c>
      <c r="G347" s="9">
        <f t="shared" si="16"/>
        <v>1</v>
      </c>
      <c r="H347" s="13">
        <f t="shared" si="17"/>
        <v>166.25</v>
      </c>
    </row>
    <row r="348" spans="1:8" x14ac:dyDescent="0.25">
      <c r="A348" s="2" t="str">
        <f>"BWL-40WNW2F"</f>
        <v>BWL-40WNW2F</v>
      </c>
      <c r="B348" s="2" t="str">
        <f>"BWL Einbaudownlight, LED 41W, 3500K, 1050mA, 60°, Gehäuse und Ring schwarz"</f>
        <v>BWL Einbaudownlight, LED 41W, 3500K, 1050mA, 60°, Gehäuse und Ring schwarz</v>
      </c>
      <c r="C348" s="16">
        <v>166.25</v>
      </c>
      <c r="D348" s="11">
        <v>109</v>
      </c>
      <c r="E348" s="7">
        <f t="shared" si="15"/>
        <v>1</v>
      </c>
      <c r="F348" s="22" t="str">
        <f>IF(ISERROR(VLOOKUP($A348,#REF!,3,0)),"x",VLOOKUP($A348,#REF!,3,FALSE))</f>
        <v>x</v>
      </c>
      <c r="G348" s="9">
        <f t="shared" si="16"/>
        <v>1</v>
      </c>
      <c r="H348" s="13">
        <f t="shared" si="17"/>
        <v>166.25</v>
      </c>
    </row>
    <row r="349" spans="1:8" x14ac:dyDescent="0.25">
      <c r="A349" s="2" t="str">
        <f>"BWL-40WW1"</f>
        <v>BWL-40WW1</v>
      </c>
      <c r="B349" s="2" t="str">
        <f>"BWL Einbaudownlight, LED 41W, 3000K, 1050 mA, 30°, Gehäuse weiß m. weißem Ring"</f>
        <v>BWL Einbaudownlight, LED 41W, 3000K, 1050 mA, 30°, Gehäuse weiß m. weißem Ring</v>
      </c>
      <c r="C349" s="16">
        <v>166.25</v>
      </c>
      <c r="D349" s="11">
        <v>109</v>
      </c>
      <c r="E349" s="7">
        <f t="shared" si="15"/>
        <v>1</v>
      </c>
      <c r="F349" s="22" t="str">
        <f>IF(ISERROR(VLOOKUP($A349,#REF!,3,0)),"x",VLOOKUP($A349,#REF!,3,FALSE))</f>
        <v>x</v>
      </c>
      <c r="G349" s="9">
        <f t="shared" si="16"/>
        <v>1</v>
      </c>
      <c r="H349" s="13">
        <f t="shared" si="17"/>
        <v>166.25</v>
      </c>
    </row>
    <row r="350" spans="1:8" x14ac:dyDescent="0.25">
      <c r="A350" s="2" t="str">
        <f>"BWL-40WW1-2"</f>
        <v>BWL-40WW1-2</v>
      </c>
      <c r="B350" s="2" t="str">
        <f>"BWL Einbaudownlight, LED 41W, 3000K, 1050mA, 30°, Gehäuse weiß m. schwarz. Ring"</f>
        <v>BWL Einbaudownlight, LED 41W, 3000K, 1050mA, 30°, Gehäuse weiß m. schwarz. Ring</v>
      </c>
      <c r="C350" s="16">
        <v>166.25</v>
      </c>
      <c r="D350" s="11">
        <v>109</v>
      </c>
      <c r="E350" s="7">
        <f t="shared" si="15"/>
        <v>1</v>
      </c>
      <c r="F350" s="22" t="str">
        <f>IF(ISERROR(VLOOKUP($A350,#REF!,3,0)),"x",VLOOKUP($A350,#REF!,3,FALSE))</f>
        <v>x</v>
      </c>
      <c r="G350" s="9">
        <f t="shared" si="16"/>
        <v>1</v>
      </c>
      <c r="H350" s="13">
        <f t="shared" si="17"/>
        <v>166.25</v>
      </c>
    </row>
    <row r="351" spans="1:8" x14ac:dyDescent="0.25">
      <c r="A351" s="2" t="str">
        <f>"BWL-40WW1-2F"</f>
        <v>BWL-40WW1-2F</v>
      </c>
      <c r="B351" s="2" t="str">
        <f>"BWL Einbaudownlight, LED 41W, 3000K, 1050mA, 60°, Gehäuse weiß m. schwarz. Ring"</f>
        <v>BWL Einbaudownlight, LED 41W, 3000K, 1050mA, 60°, Gehäuse weiß m. schwarz. Ring</v>
      </c>
      <c r="C351" s="16">
        <v>166.25</v>
      </c>
      <c r="D351" s="11">
        <v>109</v>
      </c>
      <c r="E351" s="7">
        <f t="shared" si="15"/>
        <v>1</v>
      </c>
      <c r="F351" s="22" t="str">
        <f>IF(ISERROR(VLOOKUP($A351,#REF!,3,0)),"x",VLOOKUP($A351,#REF!,3,FALSE))</f>
        <v>x</v>
      </c>
      <c r="G351" s="9">
        <f t="shared" si="16"/>
        <v>1</v>
      </c>
      <c r="H351" s="13">
        <f t="shared" si="17"/>
        <v>166.25</v>
      </c>
    </row>
    <row r="352" spans="1:8" x14ac:dyDescent="0.25">
      <c r="A352" s="2" t="str">
        <f>"BWL-40WW1F"</f>
        <v>BWL-40WW1F</v>
      </c>
      <c r="B352" s="2" t="str">
        <f>"BWL Einbaudownlight, LED 41W, 3000K, 1050 mA, 60°, Gehäuse weiß m. weißem Ring"</f>
        <v>BWL Einbaudownlight, LED 41W, 3000K, 1050 mA, 60°, Gehäuse weiß m. weißem Ring</v>
      </c>
      <c r="C352" s="16">
        <v>166.25</v>
      </c>
      <c r="D352" s="11">
        <v>109</v>
      </c>
      <c r="E352" s="7">
        <f t="shared" si="15"/>
        <v>1</v>
      </c>
      <c r="F352" s="22" t="str">
        <f>IF(ISERROR(VLOOKUP($A352,#REF!,3,0)),"x",VLOOKUP($A352,#REF!,3,FALSE))</f>
        <v>x</v>
      </c>
      <c r="G352" s="9">
        <f t="shared" si="16"/>
        <v>1</v>
      </c>
      <c r="H352" s="13">
        <f t="shared" si="17"/>
        <v>166.25</v>
      </c>
    </row>
    <row r="353" spans="1:8" x14ac:dyDescent="0.25">
      <c r="A353" s="2" t="str">
        <f>"BWL-40WW2"</f>
        <v>BWL-40WW2</v>
      </c>
      <c r="B353" s="2" t="str">
        <f>"BWL Einbaudownlight, LED 41W, 3000K, 1050mA, 30°, Gehäuse und Ring schwarz"</f>
        <v>BWL Einbaudownlight, LED 41W, 3000K, 1050mA, 30°, Gehäuse und Ring schwarz</v>
      </c>
      <c r="C353" s="16">
        <v>166.25</v>
      </c>
      <c r="D353" s="11">
        <v>109</v>
      </c>
      <c r="E353" s="7">
        <f t="shared" si="15"/>
        <v>1</v>
      </c>
      <c r="F353" s="22" t="str">
        <f>IF(ISERROR(VLOOKUP($A353,#REF!,3,0)),"x",VLOOKUP($A353,#REF!,3,FALSE))</f>
        <v>x</v>
      </c>
      <c r="G353" s="9">
        <f t="shared" si="16"/>
        <v>1</v>
      </c>
      <c r="H353" s="13">
        <f t="shared" si="17"/>
        <v>166.25</v>
      </c>
    </row>
    <row r="354" spans="1:8" x14ac:dyDescent="0.25">
      <c r="A354" s="2" t="str">
        <f>"BWL-40WW2-1"</f>
        <v>BWL-40WW2-1</v>
      </c>
      <c r="B354" s="2" t="str">
        <f>"BWL Einbaudownlight, LED 41W, 3000K, 1050mA, 30°, Gehäuse schwarz, weißer Ring"</f>
        <v>BWL Einbaudownlight, LED 41W, 3000K, 1050mA, 30°, Gehäuse schwarz, weißer Ring</v>
      </c>
      <c r="C354" s="16">
        <v>166.25</v>
      </c>
      <c r="D354" s="11">
        <v>109</v>
      </c>
      <c r="E354" s="7">
        <f t="shared" si="15"/>
        <v>1</v>
      </c>
      <c r="F354" s="22" t="str">
        <f>IF(ISERROR(VLOOKUP($A354,#REF!,3,0)),"x",VLOOKUP($A354,#REF!,3,FALSE))</f>
        <v>x</v>
      </c>
      <c r="G354" s="9">
        <f t="shared" si="16"/>
        <v>1</v>
      </c>
      <c r="H354" s="13">
        <f t="shared" si="17"/>
        <v>166.25</v>
      </c>
    </row>
    <row r="355" spans="1:8" x14ac:dyDescent="0.25">
      <c r="A355" s="2" t="str">
        <f>"BWL-40WW2-1F"</f>
        <v>BWL-40WW2-1F</v>
      </c>
      <c r="B355" s="2" t="str">
        <f>"BWL Einbaudownlight, LED 41W, 3000K, 1050mA, 60°, Gehäuse schwarz, weißer Ring"</f>
        <v>BWL Einbaudownlight, LED 41W, 3000K, 1050mA, 60°, Gehäuse schwarz, weißer Ring</v>
      </c>
      <c r="C355" s="16">
        <v>166.25</v>
      </c>
      <c r="D355" s="11">
        <v>109</v>
      </c>
      <c r="E355" s="7">
        <f t="shared" si="15"/>
        <v>1</v>
      </c>
      <c r="F355" s="22" t="str">
        <f>IF(ISERROR(VLOOKUP($A355,#REF!,3,0)),"x",VLOOKUP($A355,#REF!,3,FALSE))</f>
        <v>x</v>
      </c>
      <c r="G355" s="9">
        <f t="shared" si="16"/>
        <v>1</v>
      </c>
      <c r="H355" s="13">
        <f t="shared" si="17"/>
        <v>166.25</v>
      </c>
    </row>
    <row r="356" spans="1:8" x14ac:dyDescent="0.25">
      <c r="A356" s="2" t="str">
        <f>"BWL-40WW2F"</f>
        <v>BWL-40WW2F</v>
      </c>
      <c r="B356" s="2" t="str">
        <f>"BWL Einbaudownlight, LED 41W, 3000K, 1050mA, 60°, Gehäuse und Ring schwarz"</f>
        <v>BWL Einbaudownlight, LED 41W, 3000K, 1050mA, 60°, Gehäuse und Ring schwarz</v>
      </c>
      <c r="C356" s="16">
        <v>166.25</v>
      </c>
      <c r="D356" s="11">
        <v>109</v>
      </c>
      <c r="E356" s="7">
        <f t="shared" si="15"/>
        <v>1</v>
      </c>
      <c r="F356" s="22" t="str">
        <f>IF(ISERROR(VLOOKUP($A356,#REF!,3,0)),"x",VLOOKUP($A356,#REF!,3,FALSE))</f>
        <v>x</v>
      </c>
      <c r="G356" s="9">
        <f t="shared" si="16"/>
        <v>1</v>
      </c>
      <c r="H356" s="13">
        <f t="shared" si="17"/>
        <v>166.25</v>
      </c>
    </row>
    <row r="357" spans="1:8" x14ac:dyDescent="0.25">
      <c r="A357" s="2" t="str">
        <f>"BWS-30NW11-1"</f>
        <v>BWS-30NW11-1</v>
      </c>
      <c r="B357" s="2" t="str">
        <f>"BWS Schienenstrahler, CoB LED, 26W, 24°, 4000K, Gehäuse weiss"</f>
        <v>BWS Schienenstrahler, CoB LED, 26W, 24°, 4000K, Gehäuse weiss</v>
      </c>
      <c r="C357" s="16">
        <v>160</v>
      </c>
      <c r="D357" s="11">
        <v>39</v>
      </c>
      <c r="E357" s="7">
        <f t="shared" si="15"/>
        <v>1</v>
      </c>
      <c r="F357" s="22" t="str">
        <f>IF(ISERROR(VLOOKUP($A357,#REF!,3,0)),"x",VLOOKUP($A357,#REF!,3,FALSE))</f>
        <v>x</v>
      </c>
      <c r="G357" s="9">
        <f t="shared" si="16"/>
        <v>1</v>
      </c>
      <c r="H357" s="13">
        <f t="shared" si="17"/>
        <v>160</v>
      </c>
    </row>
    <row r="358" spans="1:8" x14ac:dyDescent="0.25">
      <c r="A358" s="2" t="str">
        <f>"BWS-30NW11-1-60"</f>
        <v>BWS-30NW11-1-60</v>
      </c>
      <c r="B358" s="2" t="str">
        <f>"BWS Schienenstrahler, CoB LED, 26W, 60°, 4000K, Gehäuse weiss"</f>
        <v>BWS Schienenstrahler, CoB LED, 26W, 60°, 4000K, Gehäuse weiss</v>
      </c>
      <c r="C358" s="16">
        <v>160</v>
      </c>
      <c r="D358" s="11">
        <v>39</v>
      </c>
      <c r="E358" s="7">
        <f t="shared" si="15"/>
        <v>1</v>
      </c>
      <c r="F358" s="22" t="str">
        <f>IF(ISERROR(VLOOKUP($A358,#REF!,3,0)),"x",VLOOKUP($A358,#REF!,3,FALSE))</f>
        <v>x</v>
      </c>
      <c r="G358" s="9">
        <f t="shared" si="16"/>
        <v>1</v>
      </c>
      <c r="H358" s="13">
        <f t="shared" si="17"/>
        <v>160</v>
      </c>
    </row>
    <row r="359" spans="1:8" x14ac:dyDescent="0.25">
      <c r="A359" s="2" t="str">
        <f>"BWS-30NW11-1F"</f>
        <v>BWS-30NW11-1F</v>
      </c>
      <c r="B359" s="2" t="str">
        <f>"BWS Schienenstrahler, CoB LED, 26W, 40°, 4000K, Gehäuse weiss"</f>
        <v>BWS Schienenstrahler, CoB LED, 26W, 40°, 4000K, Gehäuse weiss</v>
      </c>
      <c r="C359" s="16">
        <v>160</v>
      </c>
      <c r="D359" s="11">
        <v>39</v>
      </c>
      <c r="E359" s="7">
        <f t="shared" si="15"/>
        <v>1</v>
      </c>
      <c r="F359" s="22" t="str">
        <f>IF(ISERROR(VLOOKUP($A359,#REF!,3,0)),"x",VLOOKUP($A359,#REF!,3,FALSE))</f>
        <v>x</v>
      </c>
      <c r="G359" s="9">
        <f t="shared" si="16"/>
        <v>1</v>
      </c>
      <c r="H359" s="13">
        <f t="shared" si="17"/>
        <v>160</v>
      </c>
    </row>
    <row r="360" spans="1:8" x14ac:dyDescent="0.25">
      <c r="A360" s="2" t="str">
        <f>"BWS-30NW11-1S"</f>
        <v>BWS-30NW11-1S</v>
      </c>
      <c r="B360" s="2" t="str">
        <f>"BWS Schienenstrahler, CoB LED, 26W, 15°, 4000K , Gehäuse weiss"</f>
        <v>BWS Schienenstrahler, CoB LED, 26W, 15°, 4000K , Gehäuse weiss</v>
      </c>
      <c r="C360" s="16">
        <v>160</v>
      </c>
      <c r="D360" s="11">
        <v>39</v>
      </c>
      <c r="E360" s="7">
        <f t="shared" si="15"/>
        <v>1</v>
      </c>
      <c r="F360" s="22" t="str">
        <f>IF(ISERROR(VLOOKUP($A360,#REF!,3,0)),"x",VLOOKUP($A360,#REF!,3,FALSE))</f>
        <v>x</v>
      </c>
      <c r="G360" s="9">
        <f t="shared" si="16"/>
        <v>1</v>
      </c>
      <c r="H360" s="13">
        <f t="shared" si="17"/>
        <v>160</v>
      </c>
    </row>
    <row r="361" spans="1:8" x14ac:dyDescent="0.25">
      <c r="A361" s="2" t="str">
        <f>"BWS-30NW12"</f>
        <v>BWS-30NW12</v>
      </c>
      <c r="B361" s="2" t="str">
        <f>"BWS Schienenstrahler, CoB LED, 26W, 24°, 4000K, Gehäuse schwarz"</f>
        <v>BWS Schienenstrahler, CoB LED, 26W, 24°, 4000K, Gehäuse schwarz</v>
      </c>
      <c r="C361" s="16">
        <v>160</v>
      </c>
      <c r="D361" s="11">
        <v>39</v>
      </c>
      <c r="E361" s="7">
        <f t="shared" si="15"/>
        <v>1</v>
      </c>
      <c r="F361" s="22" t="str">
        <f>IF(ISERROR(VLOOKUP($A361,#REF!,3,0)),"x",VLOOKUP($A361,#REF!,3,FALSE))</f>
        <v>x</v>
      </c>
      <c r="G361" s="9">
        <f t="shared" si="16"/>
        <v>1</v>
      </c>
      <c r="H361" s="13">
        <f t="shared" si="17"/>
        <v>160</v>
      </c>
    </row>
    <row r="362" spans="1:8" x14ac:dyDescent="0.25">
      <c r="A362" s="2" t="str">
        <f>"BWS-30NW12-1"</f>
        <v>BWS-30NW12-1</v>
      </c>
      <c r="B362" s="2" t="str">
        <f>"BWS Schienenstrahler, CoB LED, 26W, 24°, 4000K , Gehäuse schwarz/weiss"</f>
        <v>BWS Schienenstrahler, CoB LED, 26W, 24°, 4000K , Gehäuse schwarz/weiss</v>
      </c>
      <c r="C362" s="16">
        <v>160</v>
      </c>
      <c r="D362" s="11">
        <v>39</v>
      </c>
      <c r="E362" s="7">
        <f t="shared" si="15"/>
        <v>1</v>
      </c>
      <c r="F362" s="22" t="str">
        <f>IF(ISERROR(VLOOKUP($A362,#REF!,3,0)),"x",VLOOKUP($A362,#REF!,3,FALSE))</f>
        <v>x</v>
      </c>
      <c r="G362" s="9">
        <f t="shared" si="16"/>
        <v>1</v>
      </c>
      <c r="H362" s="13">
        <f t="shared" si="17"/>
        <v>160</v>
      </c>
    </row>
    <row r="363" spans="1:8" x14ac:dyDescent="0.25">
      <c r="A363" s="2" t="str">
        <f>"BWS-30NW12-1-60"</f>
        <v>BWS-30NW12-1-60</v>
      </c>
      <c r="B363" s="2" t="str">
        <f>"BWS Schienenstrahler, CoB LED, 26W, 60°, 4000K, Gehäuse schwarz/weiß"</f>
        <v>BWS Schienenstrahler, CoB LED, 26W, 60°, 4000K, Gehäuse schwarz/weiß</v>
      </c>
      <c r="C363" s="16">
        <v>160</v>
      </c>
      <c r="D363" s="11">
        <v>39</v>
      </c>
      <c r="E363" s="7">
        <f t="shared" si="15"/>
        <v>1</v>
      </c>
      <c r="F363" s="22" t="str">
        <f>IF(ISERROR(VLOOKUP($A363,#REF!,3,0)),"x",VLOOKUP($A363,#REF!,3,FALSE))</f>
        <v>x</v>
      </c>
      <c r="G363" s="9">
        <f t="shared" si="16"/>
        <v>1</v>
      </c>
      <c r="H363" s="13">
        <f t="shared" si="17"/>
        <v>160</v>
      </c>
    </row>
    <row r="364" spans="1:8" x14ac:dyDescent="0.25">
      <c r="A364" s="2" t="str">
        <f>"BWS-30NW12-1F"</f>
        <v>BWS-30NW12-1F</v>
      </c>
      <c r="B364" s="2" t="str">
        <f>"BWS Schienenstrahler, CoB LED, 26W, 40°, 4000K , Gehäuse schwarz/weiss"</f>
        <v>BWS Schienenstrahler, CoB LED, 26W, 40°, 4000K , Gehäuse schwarz/weiss</v>
      </c>
      <c r="C364" s="16">
        <v>160</v>
      </c>
      <c r="D364" s="11">
        <v>39</v>
      </c>
      <c r="E364" s="7">
        <f t="shared" si="15"/>
        <v>1</v>
      </c>
      <c r="F364" s="22" t="str">
        <f>IF(ISERROR(VLOOKUP($A364,#REF!,3,0)),"x",VLOOKUP($A364,#REF!,3,FALSE))</f>
        <v>x</v>
      </c>
      <c r="G364" s="9">
        <f t="shared" si="16"/>
        <v>1</v>
      </c>
      <c r="H364" s="13">
        <f t="shared" si="17"/>
        <v>160</v>
      </c>
    </row>
    <row r="365" spans="1:8" x14ac:dyDescent="0.25">
      <c r="A365" s="2" t="str">
        <f>"BWS-30NW12-1S"</f>
        <v>BWS-30NW12-1S</v>
      </c>
      <c r="B365" s="2" t="str">
        <f>"BWS Schienenstrahler, CoB LED, 26W, 15°, 4000K, Gehäuse schwarz/weiss"</f>
        <v>BWS Schienenstrahler, CoB LED, 26W, 15°, 4000K, Gehäuse schwarz/weiss</v>
      </c>
      <c r="C365" s="16">
        <v>160</v>
      </c>
      <c r="D365" s="11">
        <v>39</v>
      </c>
      <c r="E365" s="7">
        <f t="shared" si="15"/>
        <v>1</v>
      </c>
      <c r="F365" s="22" t="str">
        <f>IF(ISERROR(VLOOKUP($A365,#REF!,3,0)),"x",VLOOKUP($A365,#REF!,3,FALSE))</f>
        <v>x</v>
      </c>
      <c r="G365" s="9">
        <f t="shared" si="16"/>
        <v>1</v>
      </c>
      <c r="H365" s="13">
        <f t="shared" si="17"/>
        <v>160</v>
      </c>
    </row>
    <row r="366" spans="1:8" x14ac:dyDescent="0.25">
      <c r="A366" s="2" t="str">
        <f>"BWS-30NW12-60"</f>
        <v>BWS-30NW12-60</v>
      </c>
      <c r="B366" s="2" t="str">
        <f>"BWS Schienenstrahler, CoB LED, 26W, 60°, 4000K, Gehäuse schwarz"</f>
        <v>BWS Schienenstrahler, CoB LED, 26W, 60°, 4000K, Gehäuse schwarz</v>
      </c>
      <c r="C366" s="16">
        <v>160</v>
      </c>
      <c r="D366" s="11">
        <v>39</v>
      </c>
      <c r="E366" s="7">
        <f t="shared" si="15"/>
        <v>1</v>
      </c>
      <c r="F366" s="22" t="str">
        <f>IF(ISERROR(VLOOKUP($A366,#REF!,3,0)),"x",VLOOKUP($A366,#REF!,3,FALSE))</f>
        <v>x</v>
      </c>
      <c r="G366" s="9">
        <f t="shared" si="16"/>
        <v>1</v>
      </c>
      <c r="H366" s="13">
        <f t="shared" si="17"/>
        <v>160</v>
      </c>
    </row>
    <row r="367" spans="1:8" x14ac:dyDescent="0.25">
      <c r="A367" s="2" t="str">
        <f>"BWS-30NW12F"</f>
        <v>BWS-30NW12F</v>
      </c>
      <c r="B367" s="2" t="str">
        <f>"BWS Schienenstrahler, CoB LED, 26W, 40°, 4000K , Gehäuse schwarz"</f>
        <v>BWS Schienenstrahler, CoB LED, 26W, 40°, 4000K , Gehäuse schwarz</v>
      </c>
      <c r="C367" s="16">
        <v>160</v>
      </c>
      <c r="D367" s="11">
        <v>39</v>
      </c>
      <c r="E367" s="7">
        <f t="shared" si="15"/>
        <v>1</v>
      </c>
      <c r="F367" s="22" t="str">
        <f>IF(ISERROR(VLOOKUP($A367,#REF!,3,0)),"x",VLOOKUP($A367,#REF!,3,FALSE))</f>
        <v>x</v>
      </c>
      <c r="G367" s="9">
        <f t="shared" si="16"/>
        <v>1</v>
      </c>
      <c r="H367" s="13">
        <f t="shared" si="17"/>
        <v>160</v>
      </c>
    </row>
    <row r="368" spans="1:8" x14ac:dyDescent="0.25">
      <c r="A368" s="2" t="str">
        <f>"BWS-30NW12S"</f>
        <v>BWS-30NW12S</v>
      </c>
      <c r="B368" s="2" t="str">
        <f>"BWS Schienenstrahler, CoB LED, 26W, 15°, 4000K, Gehäuse schwarz"</f>
        <v>BWS Schienenstrahler, CoB LED, 26W, 15°, 4000K, Gehäuse schwarz</v>
      </c>
      <c r="C368" s="16">
        <v>160</v>
      </c>
      <c r="D368" s="11">
        <v>39</v>
      </c>
      <c r="E368" s="7">
        <f t="shared" si="15"/>
        <v>1</v>
      </c>
      <c r="F368" s="22" t="str">
        <f>IF(ISERROR(VLOOKUP($A368,#REF!,3,0)),"x",VLOOKUP($A368,#REF!,3,FALSE))</f>
        <v>x</v>
      </c>
      <c r="G368" s="9">
        <f t="shared" si="16"/>
        <v>1</v>
      </c>
      <c r="H368" s="13">
        <f t="shared" si="17"/>
        <v>160</v>
      </c>
    </row>
    <row r="369" spans="1:8" x14ac:dyDescent="0.25">
      <c r="A369" s="2" t="str">
        <f>"BWS-30NW17-7"</f>
        <v>BWS-30NW17-7</v>
      </c>
      <c r="B369" s="2" t="str">
        <f>"BWS Schienenstrahler, CoB LED, 26W, 24°, 4000K , Gehäuse alugrau"</f>
        <v>BWS Schienenstrahler, CoB LED, 26W, 24°, 4000K , Gehäuse alugrau</v>
      </c>
      <c r="C369" s="16">
        <v>160</v>
      </c>
      <c r="D369" s="11">
        <v>39</v>
      </c>
      <c r="E369" s="7">
        <f t="shared" si="15"/>
        <v>1</v>
      </c>
      <c r="F369" s="22" t="str">
        <f>IF(ISERROR(VLOOKUP($A369,#REF!,3,0)),"x",VLOOKUP($A369,#REF!,3,FALSE))</f>
        <v>x</v>
      </c>
      <c r="G369" s="9">
        <f t="shared" si="16"/>
        <v>1</v>
      </c>
      <c r="H369" s="13">
        <f t="shared" si="17"/>
        <v>160</v>
      </c>
    </row>
    <row r="370" spans="1:8" x14ac:dyDescent="0.25">
      <c r="A370" s="2" t="str">
        <f>"BWS-30NW17-7-60"</f>
        <v>BWS-30NW17-7-60</v>
      </c>
      <c r="B370" s="2" t="str">
        <f>"BWS Schienenstrahler, CoB LED, 26W, 60°, 4000K, Gehäuse alugrau"</f>
        <v>BWS Schienenstrahler, CoB LED, 26W, 60°, 4000K, Gehäuse alugrau</v>
      </c>
      <c r="C370" s="16">
        <v>160</v>
      </c>
      <c r="D370" s="11">
        <v>39</v>
      </c>
      <c r="E370" s="7">
        <f t="shared" si="15"/>
        <v>1</v>
      </c>
      <c r="F370" s="22" t="str">
        <f>IF(ISERROR(VLOOKUP($A370,#REF!,3,0)),"x",VLOOKUP($A370,#REF!,3,FALSE))</f>
        <v>x</v>
      </c>
      <c r="G370" s="9">
        <f t="shared" si="16"/>
        <v>1</v>
      </c>
      <c r="H370" s="13">
        <f t="shared" si="17"/>
        <v>160</v>
      </c>
    </row>
    <row r="371" spans="1:8" x14ac:dyDescent="0.25">
      <c r="A371" s="2" t="str">
        <f>"BWS-30NW17-7F"</f>
        <v>BWS-30NW17-7F</v>
      </c>
      <c r="B371" s="2" t="str">
        <f>"BWS Schienenstrahler, CoB LED, 26W, 40°, 4000K, Gehäuse alugrau"</f>
        <v>BWS Schienenstrahler, CoB LED, 26W, 40°, 4000K, Gehäuse alugrau</v>
      </c>
      <c r="C371" s="16">
        <v>160</v>
      </c>
      <c r="D371" s="11">
        <v>39</v>
      </c>
      <c r="E371" s="7">
        <f t="shared" si="15"/>
        <v>1</v>
      </c>
      <c r="F371" s="22" t="str">
        <f>IF(ISERROR(VLOOKUP($A371,#REF!,3,0)),"x",VLOOKUP($A371,#REF!,3,FALSE))</f>
        <v>x</v>
      </c>
      <c r="G371" s="9">
        <f t="shared" si="16"/>
        <v>1</v>
      </c>
      <c r="H371" s="13">
        <f t="shared" si="17"/>
        <v>160</v>
      </c>
    </row>
    <row r="372" spans="1:8" x14ac:dyDescent="0.25">
      <c r="A372" s="2" t="str">
        <f>"BWS-30NW17-7S"</f>
        <v>BWS-30NW17-7S</v>
      </c>
      <c r="B372" s="2" t="str">
        <f>"BWS Schienenstrahler, CoB LED, 26W, 15°, 4000K , Gehäuse alugrau"</f>
        <v>BWS Schienenstrahler, CoB LED, 26W, 15°, 4000K , Gehäuse alugrau</v>
      </c>
      <c r="C372" s="16">
        <v>160</v>
      </c>
      <c r="D372" s="11">
        <v>39</v>
      </c>
      <c r="E372" s="7">
        <f t="shared" si="15"/>
        <v>1</v>
      </c>
      <c r="F372" s="22" t="str">
        <f>IF(ISERROR(VLOOKUP($A372,#REF!,3,0)),"x",VLOOKUP($A372,#REF!,3,FALSE))</f>
        <v>x</v>
      </c>
      <c r="G372" s="9">
        <f t="shared" si="16"/>
        <v>1</v>
      </c>
      <c r="H372" s="13">
        <f t="shared" si="17"/>
        <v>160</v>
      </c>
    </row>
    <row r="373" spans="1:8" x14ac:dyDescent="0.25">
      <c r="A373" s="2" t="str">
        <f>"BWS-30SW11-1"</f>
        <v>BWS-30SW11-1</v>
      </c>
      <c r="B373" s="2" t="str">
        <f>"BWS Schienenstrahler, CoB LED, 26W, 24°, 2700K, Gehäuse weiss"</f>
        <v>BWS Schienenstrahler, CoB LED, 26W, 24°, 2700K, Gehäuse weiss</v>
      </c>
      <c r="C373" s="16">
        <v>160</v>
      </c>
      <c r="D373" s="11">
        <v>39</v>
      </c>
      <c r="E373" s="7">
        <f t="shared" si="15"/>
        <v>1</v>
      </c>
      <c r="F373" s="22" t="str">
        <f>IF(ISERROR(VLOOKUP($A373,#REF!,3,0)),"x",VLOOKUP($A373,#REF!,3,FALSE))</f>
        <v>x</v>
      </c>
      <c r="G373" s="9">
        <f t="shared" si="16"/>
        <v>1</v>
      </c>
      <c r="H373" s="13">
        <f t="shared" si="17"/>
        <v>160</v>
      </c>
    </row>
    <row r="374" spans="1:8" x14ac:dyDescent="0.25">
      <c r="A374" s="2" t="str">
        <f>"BWS-30SW11-1-60"</f>
        <v>BWS-30SW11-1-60</v>
      </c>
      <c r="B374" s="2" t="str">
        <f>"BWS Schienenstrahler, CoB LED, 26W, 60°, 2700K, Gehäuse weiss"</f>
        <v>BWS Schienenstrahler, CoB LED, 26W, 60°, 2700K, Gehäuse weiss</v>
      </c>
      <c r="C374" s="16">
        <v>160</v>
      </c>
      <c r="D374" s="11">
        <v>39</v>
      </c>
      <c r="E374" s="7">
        <f t="shared" si="15"/>
        <v>1</v>
      </c>
      <c r="F374" s="22" t="str">
        <f>IF(ISERROR(VLOOKUP($A374,#REF!,3,0)),"x",VLOOKUP($A374,#REF!,3,FALSE))</f>
        <v>x</v>
      </c>
      <c r="G374" s="9">
        <f t="shared" si="16"/>
        <v>1</v>
      </c>
      <c r="H374" s="13">
        <f t="shared" si="17"/>
        <v>160</v>
      </c>
    </row>
    <row r="375" spans="1:8" x14ac:dyDescent="0.25">
      <c r="A375" s="2" t="str">
        <f>"BWS-30SW11-1F"</f>
        <v>BWS-30SW11-1F</v>
      </c>
      <c r="B375" s="2" t="str">
        <f>"BWS Schienenstrahler, CoB LED, 26W, 40°, 2700K, Gehäuse weiss"</f>
        <v>BWS Schienenstrahler, CoB LED, 26W, 40°, 2700K, Gehäuse weiss</v>
      </c>
      <c r="C375" s="16">
        <v>160</v>
      </c>
      <c r="D375" s="11">
        <v>39</v>
      </c>
      <c r="E375" s="7">
        <f t="shared" si="15"/>
        <v>1</v>
      </c>
      <c r="F375" s="22" t="str">
        <f>IF(ISERROR(VLOOKUP($A375,#REF!,3,0)),"x",VLOOKUP($A375,#REF!,3,FALSE))</f>
        <v>x</v>
      </c>
      <c r="G375" s="9">
        <f t="shared" si="16"/>
        <v>1</v>
      </c>
      <c r="H375" s="13">
        <f t="shared" si="17"/>
        <v>160</v>
      </c>
    </row>
    <row r="376" spans="1:8" x14ac:dyDescent="0.25">
      <c r="A376" s="2" t="str">
        <f>"BWS-30SW11-1S"</f>
        <v>BWS-30SW11-1S</v>
      </c>
      <c r="B376" s="2" t="str">
        <f>"BWS Schienenstrahler, CoB LED, 26W, 15°, 2700K, Gehäuse weiss"</f>
        <v>BWS Schienenstrahler, CoB LED, 26W, 15°, 2700K, Gehäuse weiss</v>
      </c>
      <c r="C376" s="16">
        <v>160</v>
      </c>
      <c r="D376" s="11">
        <v>39</v>
      </c>
      <c r="E376" s="7">
        <f t="shared" si="15"/>
        <v>1</v>
      </c>
      <c r="F376" s="22" t="str">
        <f>IF(ISERROR(VLOOKUP($A376,#REF!,3,0)),"x",VLOOKUP($A376,#REF!,3,FALSE))</f>
        <v>x</v>
      </c>
      <c r="G376" s="9">
        <f t="shared" si="16"/>
        <v>1</v>
      </c>
      <c r="H376" s="13">
        <f t="shared" si="17"/>
        <v>160</v>
      </c>
    </row>
    <row r="377" spans="1:8" x14ac:dyDescent="0.25">
      <c r="A377" s="2" t="str">
        <f>"BWS-30SW12"</f>
        <v>BWS-30SW12</v>
      </c>
      <c r="B377" s="2" t="str">
        <f>"BWS Schienenstrahler, CoB LED, 26W, 24°, 2700K, Gehäuse schwarz"</f>
        <v>BWS Schienenstrahler, CoB LED, 26W, 24°, 2700K, Gehäuse schwarz</v>
      </c>
      <c r="C377" s="16">
        <v>160</v>
      </c>
      <c r="D377" s="11">
        <v>39</v>
      </c>
      <c r="E377" s="7">
        <f t="shared" si="15"/>
        <v>1</v>
      </c>
      <c r="F377" s="22" t="str">
        <f>IF(ISERROR(VLOOKUP($A377,#REF!,3,0)),"x",VLOOKUP($A377,#REF!,3,FALSE))</f>
        <v>x</v>
      </c>
      <c r="G377" s="9">
        <f t="shared" si="16"/>
        <v>1</v>
      </c>
      <c r="H377" s="13">
        <f t="shared" si="17"/>
        <v>160</v>
      </c>
    </row>
    <row r="378" spans="1:8" x14ac:dyDescent="0.25">
      <c r="A378" s="2" t="str">
        <f>"BWS-30SW12-1"</f>
        <v>BWS-30SW12-1</v>
      </c>
      <c r="B378" s="2" t="str">
        <f>"BWS Schienenstrahler, CoB LED, 26W, 24°, 2700K, Gehäuse schwarz/weiss"</f>
        <v>BWS Schienenstrahler, CoB LED, 26W, 24°, 2700K, Gehäuse schwarz/weiss</v>
      </c>
      <c r="C378" s="16">
        <v>160</v>
      </c>
      <c r="D378" s="11">
        <v>39</v>
      </c>
      <c r="E378" s="7">
        <f t="shared" si="15"/>
        <v>1</v>
      </c>
      <c r="F378" s="22" t="str">
        <f>IF(ISERROR(VLOOKUP($A378,#REF!,3,0)),"x",VLOOKUP($A378,#REF!,3,FALSE))</f>
        <v>x</v>
      </c>
      <c r="G378" s="9">
        <f t="shared" si="16"/>
        <v>1</v>
      </c>
      <c r="H378" s="13">
        <f t="shared" si="17"/>
        <v>160</v>
      </c>
    </row>
    <row r="379" spans="1:8" x14ac:dyDescent="0.25">
      <c r="A379" s="2" t="str">
        <f>"BWS-30SW12-1-60"</f>
        <v>BWS-30SW12-1-60</v>
      </c>
      <c r="B379" s="2" t="str">
        <f>"BWS Schienenstrahler, CoB LED, 26W, 60°, 2700K, Gehäuse schwarz/weiss"</f>
        <v>BWS Schienenstrahler, CoB LED, 26W, 60°, 2700K, Gehäuse schwarz/weiss</v>
      </c>
      <c r="C379" s="16">
        <v>160</v>
      </c>
      <c r="D379" s="11">
        <v>39</v>
      </c>
      <c r="E379" s="7">
        <f t="shared" si="15"/>
        <v>1</v>
      </c>
      <c r="F379" s="22" t="str">
        <f>IF(ISERROR(VLOOKUP($A379,#REF!,3,0)),"x",VLOOKUP($A379,#REF!,3,FALSE))</f>
        <v>x</v>
      </c>
      <c r="G379" s="9">
        <f t="shared" si="16"/>
        <v>1</v>
      </c>
      <c r="H379" s="13">
        <f t="shared" si="17"/>
        <v>160</v>
      </c>
    </row>
    <row r="380" spans="1:8" x14ac:dyDescent="0.25">
      <c r="A380" s="2" t="str">
        <f>"BWS-30SW12-1F"</f>
        <v>BWS-30SW12-1F</v>
      </c>
      <c r="B380" s="2" t="str">
        <f>"BWS Schienenstrahler, CoB LED, 26W, 40°, 2700K, Gehäuse schwarz/weiss"</f>
        <v>BWS Schienenstrahler, CoB LED, 26W, 40°, 2700K, Gehäuse schwarz/weiss</v>
      </c>
      <c r="C380" s="16">
        <v>160</v>
      </c>
      <c r="D380" s="11">
        <v>39</v>
      </c>
      <c r="E380" s="7">
        <f t="shared" si="15"/>
        <v>1</v>
      </c>
      <c r="F380" s="22" t="str">
        <f>IF(ISERROR(VLOOKUP($A380,#REF!,3,0)),"x",VLOOKUP($A380,#REF!,3,FALSE))</f>
        <v>x</v>
      </c>
      <c r="G380" s="9">
        <f t="shared" si="16"/>
        <v>1</v>
      </c>
      <c r="H380" s="13">
        <f t="shared" si="17"/>
        <v>160</v>
      </c>
    </row>
    <row r="381" spans="1:8" x14ac:dyDescent="0.25">
      <c r="A381" s="2" t="str">
        <f>"BWS-30SW12-1S"</f>
        <v>BWS-30SW12-1S</v>
      </c>
      <c r="B381" s="2" t="str">
        <f>"BWS Schienenstrahler, CoB LED, 26W, 15°, 2700K, Gehäuse schwarz/weiss"</f>
        <v>BWS Schienenstrahler, CoB LED, 26W, 15°, 2700K, Gehäuse schwarz/weiss</v>
      </c>
      <c r="C381" s="16">
        <v>160</v>
      </c>
      <c r="D381" s="11">
        <v>39</v>
      </c>
      <c r="E381" s="7">
        <f t="shared" si="15"/>
        <v>1</v>
      </c>
      <c r="F381" s="22" t="str">
        <f>IF(ISERROR(VLOOKUP($A381,#REF!,3,0)),"x",VLOOKUP($A381,#REF!,3,FALSE))</f>
        <v>x</v>
      </c>
      <c r="G381" s="9">
        <f t="shared" si="16"/>
        <v>1</v>
      </c>
      <c r="H381" s="13">
        <f t="shared" si="17"/>
        <v>160</v>
      </c>
    </row>
    <row r="382" spans="1:8" x14ac:dyDescent="0.25">
      <c r="A382" s="2" t="str">
        <f>"BWS-30SW12-60"</f>
        <v>BWS-30SW12-60</v>
      </c>
      <c r="B382" s="2" t="str">
        <f>"BWS Schienenstrahler, CoB LED, 26W, 60°, 2700K, Gehäuse schwarz"</f>
        <v>BWS Schienenstrahler, CoB LED, 26W, 60°, 2700K, Gehäuse schwarz</v>
      </c>
      <c r="C382" s="16">
        <v>160</v>
      </c>
      <c r="D382" s="11">
        <v>39</v>
      </c>
      <c r="E382" s="7">
        <f t="shared" si="15"/>
        <v>1</v>
      </c>
      <c r="F382" s="22" t="str">
        <f>IF(ISERROR(VLOOKUP($A382,#REF!,3,0)),"x",VLOOKUP($A382,#REF!,3,FALSE))</f>
        <v>x</v>
      </c>
      <c r="G382" s="9">
        <f t="shared" si="16"/>
        <v>1</v>
      </c>
      <c r="H382" s="13">
        <f t="shared" si="17"/>
        <v>160</v>
      </c>
    </row>
    <row r="383" spans="1:8" x14ac:dyDescent="0.25">
      <c r="A383" s="2" t="str">
        <f>"BWS-30SW12F"</f>
        <v>BWS-30SW12F</v>
      </c>
      <c r="B383" s="2" t="str">
        <f>"BWS Schienenstrahler, CoB LED, 26W, 40°, 2700K, Gehäuse schwarz"</f>
        <v>BWS Schienenstrahler, CoB LED, 26W, 40°, 2700K, Gehäuse schwarz</v>
      </c>
      <c r="C383" s="16">
        <v>160</v>
      </c>
      <c r="D383" s="11">
        <v>39</v>
      </c>
      <c r="E383" s="7">
        <f t="shared" si="15"/>
        <v>1</v>
      </c>
      <c r="F383" s="22" t="str">
        <f>IF(ISERROR(VLOOKUP($A383,#REF!,3,0)),"x",VLOOKUP($A383,#REF!,3,FALSE))</f>
        <v>x</v>
      </c>
      <c r="G383" s="9">
        <f t="shared" si="16"/>
        <v>1</v>
      </c>
      <c r="H383" s="13">
        <f t="shared" si="17"/>
        <v>160</v>
      </c>
    </row>
    <row r="384" spans="1:8" x14ac:dyDescent="0.25">
      <c r="A384" s="2" t="str">
        <f>"BWS-30SW12S"</f>
        <v>BWS-30SW12S</v>
      </c>
      <c r="B384" s="2" t="str">
        <f>"BWS Schienenstrahler, CoB LED, 26W, 15°, 2700K, Gehäuse schwarz"</f>
        <v>BWS Schienenstrahler, CoB LED, 26W, 15°, 2700K, Gehäuse schwarz</v>
      </c>
      <c r="C384" s="16">
        <v>160</v>
      </c>
      <c r="D384" s="11">
        <v>39</v>
      </c>
      <c r="E384" s="7">
        <f t="shared" si="15"/>
        <v>1</v>
      </c>
      <c r="F384" s="22" t="str">
        <f>IF(ISERROR(VLOOKUP($A384,#REF!,3,0)),"x",VLOOKUP($A384,#REF!,3,FALSE))</f>
        <v>x</v>
      </c>
      <c r="G384" s="9">
        <f t="shared" si="16"/>
        <v>1</v>
      </c>
      <c r="H384" s="13">
        <f t="shared" si="17"/>
        <v>160</v>
      </c>
    </row>
    <row r="385" spans="1:8" x14ac:dyDescent="0.25">
      <c r="A385" s="2" t="str">
        <f>"BWS-30SW17-7"</f>
        <v>BWS-30SW17-7</v>
      </c>
      <c r="B385" s="2" t="str">
        <f>"BWS Schienenstrahler, CoB LED, 26W, 24°, 2700K, Gehäuse alugrau"</f>
        <v>BWS Schienenstrahler, CoB LED, 26W, 24°, 2700K, Gehäuse alugrau</v>
      </c>
      <c r="C385" s="16">
        <v>160</v>
      </c>
      <c r="D385" s="11">
        <v>39</v>
      </c>
      <c r="E385" s="7">
        <f t="shared" si="15"/>
        <v>1</v>
      </c>
      <c r="F385" s="22" t="str">
        <f>IF(ISERROR(VLOOKUP($A385,#REF!,3,0)),"x",VLOOKUP($A385,#REF!,3,FALSE))</f>
        <v>x</v>
      </c>
      <c r="G385" s="9">
        <f t="shared" si="16"/>
        <v>1</v>
      </c>
      <c r="H385" s="13">
        <f t="shared" si="17"/>
        <v>160</v>
      </c>
    </row>
    <row r="386" spans="1:8" x14ac:dyDescent="0.25">
      <c r="A386" s="2" t="str">
        <f>"BWS-30SW17-7-60"</f>
        <v>BWS-30SW17-7-60</v>
      </c>
      <c r="B386" s="2" t="str">
        <f>"BWS Schienenstrahler, CoB LED, 26W, 60°, 2700K, Gehäuse alugrau"</f>
        <v>BWS Schienenstrahler, CoB LED, 26W, 60°, 2700K, Gehäuse alugrau</v>
      </c>
      <c r="C386" s="16">
        <v>160</v>
      </c>
      <c r="D386" s="11">
        <v>39</v>
      </c>
      <c r="E386" s="7">
        <f t="shared" si="15"/>
        <v>1</v>
      </c>
      <c r="F386" s="22" t="str">
        <f>IF(ISERROR(VLOOKUP($A386,#REF!,3,0)),"x",VLOOKUP($A386,#REF!,3,FALSE))</f>
        <v>x</v>
      </c>
      <c r="G386" s="9">
        <f t="shared" si="16"/>
        <v>1</v>
      </c>
      <c r="H386" s="13">
        <f t="shared" si="17"/>
        <v>160</v>
      </c>
    </row>
    <row r="387" spans="1:8" x14ac:dyDescent="0.25">
      <c r="A387" s="2" t="str">
        <f>"BWS-30SW17-7F"</f>
        <v>BWS-30SW17-7F</v>
      </c>
      <c r="B387" s="2" t="str">
        <f>"BWS Schienenstrahler, CoB LED, 26W, 40°, 2700K, Gehäuse alugrau"</f>
        <v>BWS Schienenstrahler, CoB LED, 26W, 40°, 2700K, Gehäuse alugrau</v>
      </c>
      <c r="C387" s="16">
        <v>160</v>
      </c>
      <c r="D387" s="11">
        <v>39</v>
      </c>
      <c r="E387" s="7">
        <f t="shared" si="15"/>
        <v>1</v>
      </c>
      <c r="F387" s="22" t="str">
        <f>IF(ISERROR(VLOOKUP($A387,#REF!,3,0)),"x",VLOOKUP($A387,#REF!,3,FALSE))</f>
        <v>x</v>
      </c>
      <c r="G387" s="9">
        <f t="shared" si="16"/>
        <v>1</v>
      </c>
      <c r="H387" s="13">
        <f t="shared" si="17"/>
        <v>160</v>
      </c>
    </row>
    <row r="388" spans="1:8" x14ac:dyDescent="0.25">
      <c r="A388" s="2" t="str">
        <f>"BWS-30SW17-7S"</f>
        <v>BWS-30SW17-7S</v>
      </c>
      <c r="B388" s="2" t="str">
        <f>"BWS Schienenstrahler, CoB LED, 26W, 15°, 2700K, Gehäuse alugrau"</f>
        <v>BWS Schienenstrahler, CoB LED, 26W, 15°, 2700K, Gehäuse alugrau</v>
      </c>
      <c r="C388" s="16">
        <v>160</v>
      </c>
      <c r="D388" s="11">
        <v>39</v>
      </c>
      <c r="E388" s="7">
        <f t="shared" ref="E388:E451" si="18">G388</f>
        <v>1</v>
      </c>
      <c r="F388" s="22" t="str">
        <f>IF(ISERROR(VLOOKUP($A388,#REF!,3,0)),"x",VLOOKUP($A388,#REF!,3,FALSE))</f>
        <v>x</v>
      </c>
      <c r="G388" s="9">
        <f t="shared" ref="G388:G451" si="19">IF(C388&lt;F388,1,IF(C388&gt;F388,-1,0))</f>
        <v>1</v>
      </c>
      <c r="H388" s="13">
        <f t="shared" si="17"/>
        <v>160</v>
      </c>
    </row>
    <row r="389" spans="1:8" x14ac:dyDescent="0.25">
      <c r="A389" s="2" t="str">
        <f>"BWS-30WNW11-1"</f>
        <v>BWS-30WNW11-1</v>
      </c>
      <c r="B389" s="2" t="str">
        <f>"BWS Schienenstrahler, CoB LED, 26W, 24°, 3500K, Gehäuse weiss"</f>
        <v>BWS Schienenstrahler, CoB LED, 26W, 24°, 3500K, Gehäuse weiss</v>
      </c>
      <c r="C389" s="16">
        <v>160</v>
      </c>
      <c r="D389" s="11">
        <v>39</v>
      </c>
      <c r="E389" s="7">
        <f t="shared" si="18"/>
        <v>1</v>
      </c>
      <c r="F389" s="22" t="str">
        <f>IF(ISERROR(VLOOKUP($A389,#REF!,3,0)),"x",VLOOKUP($A389,#REF!,3,FALSE))</f>
        <v>x</v>
      </c>
      <c r="G389" s="9">
        <f t="shared" si="19"/>
        <v>1</v>
      </c>
      <c r="H389" s="13">
        <f t="shared" si="17"/>
        <v>160</v>
      </c>
    </row>
    <row r="390" spans="1:8" x14ac:dyDescent="0.25">
      <c r="A390" s="2" t="str">
        <f>"BWS-30WNW11-1-60"</f>
        <v>BWS-30WNW11-1-60</v>
      </c>
      <c r="B390" s="2" t="str">
        <f>"BWS Schienenstrahler, CoB LED, 26W, 60°, 3500K, Gehäuse weiss"</f>
        <v>BWS Schienenstrahler, CoB LED, 26W, 60°, 3500K, Gehäuse weiss</v>
      </c>
      <c r="C390" s="16">
        <v>160</v>
      </c>
      <c r="D390" s="11">
        <v>39</v>
      </c>
      <c r="E390" s="7">
        <f t="shared" si="18"/>
        <v>1</v>
      </c>
      <c r="F390" s="22" t="str">
        <f>IF(ISERROR(VLOOKUP($A390,#REF!,3,0)),"x",VLOOKUP($A390,#REF!,3,FALSE))</f>
        <v>x</v>
      </c>
      <c r="G390" s="9">
        <f t="shared" si="19"/>
        <v>1</v>
      </c>
      <c r="H390" s="13">
        <f t="shared" ref="H390:H453" si="20">IF(F390="x",C390,F390)</f>
        <v>160</v>
      </c>
    </row>
    <row r="391" spans="1:8" x14ac:dyDescent="0.25">
      <c r="A391" s="2" t="str">
        <f>"BWS-30WNW11-1F"</f>
        <v>BWS-30WNW11-1F</v>
      </c>
      <c r="B391" s="2" t="str">
        <f>"BWS Schienenstrahler, CoB LED, 26W, 40°, 3500K, Gehäuse weiss"</f>
        <v>BWS Schienenstrahler, CoB LED, 26W, 40°, 3500K, Gehäuse weiss</v>
      </c>
      <c r="C391" s="16">
        <v>160</v>
      </c>
      <c r="D391" s="11">
        <v>39</v>
      </c>
      <c r="E391" s="7">
        <f t="shared" si="18"/>
        <v>1</v>
      </c>
      <c r="F391" s="22" t="str">
        <f>IF(ISERROR(VLOOKUP($A391,#REF!,3,0)),"x",VLOOKUP($A391,#REF!,3,FALSE))</f>
        <v>x</v>
      </c>
      <c r="G391" s="9">
        <f t="shared" si="19"/>
        <v>1</v>
      </c>
      <c r="H391" s="13">
        <f t="shared" si="20"/>
        <v>160</v>
      </c>
    </row>
    <row r="392" spans="1:8" x14ac:dyDescent="0.25">
      <c r="A392" s="2" t="str">
        <f>"BWS-30WNW11-1S"</f>
        <v>BWS-30WNW11-1S</v>
      </c>
      <c r="B392" s="2" t="str">
        <f>"BWS Schienenstrahler, CoB LED, 26W, 15°, 3500K, Gehäuse weiß"</f>
        <v>BWS Schienenstrahler, CoB LED, 26W, 15°, 3500K, Gehäuse weiß</v>
      </c>
      <c r="C392" s="16">
        <v>160</v>
      </c>
      <c r="D392" s="11">
        <v>39</v>
      </c>
      <c r="E392" s="7">
        <f t="shared" si="18"/>
        <v>1</v>
      </c>
      <c r="F392" s="22" t="str">
        <f>IF(ISERROR(VLOOKUP($A392,#REF!,3,0)),"x",VLOOKUP($A392,#REF!,3,FALSE))</f>
        <v>x</v>
      </c>
      <c r="G392" s="9">
        <f t="shared" si="19"/>
        <v>1</v>
      </c>
      <c r="H392" s="13">
        <f t="shared" si="20"/>
        <v>160</v>
      </c>
    </row>
    <row r="393" spans="1:8" x14ac:dyDescent="0.25">
      <c r="A393" s="2" t="str">
        <f>"BWS-30WNW12"</f>
        <v>BWS-30WNW12</v>
      </c>
      <c r="B393" s="2" t="str">
        <f>"BWS Schienenstrahler, CoB LED, 26W, 24°, 3500K, Gehäuse schwarz"</f>
        <v>BWS Schienenstrahler, CoB LED, 26W, 24°, 3500K, Gehäuse schwarz</v>
      </c>
      <c r="C393" s="16">
        <v>160</v>
      </c>
      <c r="D393" s="11">
        <v>39</v>
      </c>
      <c r="E393" s="7">
        <f t="shared" si="18"/>
        <v>1</v>
      </c>
      <c r="F393" s="22" t="str">
        <f>IF(ISERROR(VLOOKUP($A393,#REF!,3,0)),"x",VLOOKUP($A393,#REF!,3,FALSE))</f>
        <v>x</v>
      </c>
      <c r="G393" s="9">
        <f t="shared" si="19"/>
        <v>1</v>
      </c>
      <c r="H393" s="13">
        <f t="shared" si="20"/>
        <v>160</v>
      </c>
    </row>
    <row r="394" spans="1:8" x14ac:dyDescent="0.25">
      <c r="A394" s="2" t="str">
        <f>"BWS-30WNW12-1"</f>
        <v>BWS-30WNW12-1</v>
      </c>
      <c r="B394" s="2" t="str">
        <f>"BWS Schienenstrahler, CoB LED, 26W, 24°, 3500K, Gehäuse schwarz/weiß"</f>
        <v>BWS Schienenstrahler, CoB LED, 26W, 24°, 3500K, Gehäuse schwarz/weiß</v>
      </c>
      <c r="C394" s="16">
        <v>160</v>
      </c>
      <c r="D394" s="11">
        <v>39</v>
      </c>
      <c r="E394" s="7">
        <f t="shared" si="18"/>
        <v>1</v>
      </c>
      <c r="F394" s="22" t="str">
        <f>IF(ISERROR(VLOOKUP($A394,#REF!,3,0)),"x",VLOOKUP($A394,#REF!,3,FALSE))</f>
        <v>x</v>
      </c>
      <c r="G394" s="9">
        <f t="shared" si="19"/>
        <v>1</v>
      </c>
      <c r="H394" s="13">
        <f t="shared" si="20"/>
        <v>160</v>
      </c>
    </row>
    <row r="395" spans="1:8" x14ac:dyDescent="0.25">
      <c r="A395" s="2" t="str">
        <f>"BWS-30WNW12-1-60"</f>
        <v>BWS-30WNW12-1-60</v>
      </c>
      <c r="B395" s="2" t="str">
        <f>"BWS Schienenstrahler, CoB LED, 26W, 60°, 3500K, Gehäuse schwarz/weiss"</f>
        <v>BWS Schienenstrahler, CoB LED, 26W, 60°, 3500K, Gehäuse schwarz/weiss</v>
      </c>
      <c r="C395" s="16">
        <v>160</v>
      </c>
      <c r="D395" s="11">
        <v>39</v>
      </c>
      <c r="E395" s="7">
        <f t="shared" si="18"/>
        <v>1</v>
      </c>
      <c r="F395" s="22" t="str">
        <f>IF(ISERROR(VLOOKUP($A395,#REF!,3,0)),"x",VLOOKUP($A395,#REF!,3,FALSE))</f>
        <v>x</v>
      </c>
      <c r="G395" s="9">
        <f t="shared" si="19"/>
        <v>1</v>
      </c>
      <c r="H395" s="13">
        <f t="shared" si="20"/>
        <v>160</v>
      </c>
    </row>
    <row r="396" spans="1:8" x14ac:dyDescent="0.25">
      <c r="A396" s="2" t="str">
        <f>"BWS-30WNW12-1F"</f>
        <v>BWS-30WNW12-1F</v>
      </c>
      <c r="B396" s="2" t="str">
        <f>"BWS Schienenstrahler, CoB LED, 26W, 40°, 3500K, Gehäuse schwarz/weiss"</f>
        <v>BWS Schienenstrahler, CoB LED, 26W, 40°, 3500K, Gehäuse schwarz/weiss</v>
      </c>
      <c r="C396" s="16">
        <v>160</v>
      </c>
      <c r="D396" s="11">
        <v>39</v>
      </c>
      <c r="E396" s="7">
        <f t="shared" si="18"/>
        <v>1</v>
      </c>
      <c r="F396" s="22" t="str">
        <f>IF(ISERROR(VLOOKUP($A396,#REF!,3,0)),"x",VLOOKUP($A396,#REF!,3,FALSE))</f>
        <v>x</v>
      </c>
      <c r="G396" s="9">
        <f t="shared" si="19"/>
        <v>1</v>
      </c>
      <c r="H396" s="13">
        <f t="shared" si="20"/>
        <v>160</v>
      </c>
    </row>
    <row r="397" spans="1:8" x14ac:dyDescent="0.25">
      <c r="A397" s="2" t="str">
        <f>"BWS-30WNW12-1S"</f>
        <v>BWS-30WNW12-1S</v>
      </c>
      <c r="B397" s="2" t="str">
        <f>"BWS Schienenstrahler, CoB LED, 26W, 15°, 3500K, Gehäuse schwarz/weiß"</f>
        <v>BWS Schienenstrahler, CoB LED, 26W, 15°, 3500K, Gehäuse schwarz/weiß</v>
      </c>
      <c r="C397" s="16">
        <v>160</v>
      </c>
      <c r="D397" s="11">
        <v>39</v>
      </c>
      <c r="E397" s="7">
        <f t="shared" si="18"/>
        <v>1</v>
      </c>
      <c r="F397" s="22" t="str">
        <f>IF(ISERROR(VLOOKUP($A397,#REF!,3,0)),"x",VLOOKUP($A397,#REF!,3,FALSE))</f>
        <v>x</v>
      </c>
      <c r="G397" s="9">
        <f t="shared" si="19"/>
        <v>1</v>
      </c>
      <c r="H397" s="13">
        <f t="shared" si="20"/>
        <v>160</v>
      </c>
    </row>
    <row r="398" spans="1:8" x14ac:dyDescent="0.25">
      <c r="A398" s="2" t="str">
        <f>"BWS-30WNW12-60"</f>
        <v>BWS-30WNW12-60</v>
      </c>
      <c r="B398" s="2" t="str">
        <f>"BWS Schienenstrahler, CoB LED, 26W, 60°, 3500K, Gehäuse schwarz"</f>
        <v>BWS Schienenstrahler, CoB LED, 26W, 60°, 3500K, Gehäuse schwarz</v>
      </c>
      <c r="C398" s="16">
        <v>160</v>
      </c>
      <c r="D398" s="11">
        <v>39</v>
      </c>
      <c r="E398" s="7">
        <f t="shared" si="18"/>
        <v>1</v>
      </c>
      <c r="F398" s="22" t="str">
        <f>IF(ISERROR(VLOOKUP($A398,#REF!,3,0)),"x",VLOOKUP($A398,#REF!,3,FALSE))</f>
        <v>x</v>
      </c>
      <c r="G398" s="9">
        <f t="shared" si="19"/>
        <v>1</v>
      </c>
      <c r="H398" s="13">
        <f t="shared" si="20"/>
        <v>160</v>
      </c>
    </row>
    <row r="399" spans="1:8" x14ac:dyDescent="0.25">
      <c r="A399" s="2" t="str">
        <f>"BWS-30WNW12F"</f>
        <v>BWS-30WNW12F</v>
      </c>
      <c r="B399" s="2" t="str">
        <f>"BWS Schienenstrahler, CoB LED, 26W, 40°, 3500K, Gehäuse schwarz"</f>
        <v>BWS Schienenstrahler, CoB LED, 26W, 40°, 3500K, Gehäuse schwarz</v>
      </c>
      <c r="C399" s="16">
        <v>160</v>
      </c>
      <c r="D399" s="11">
        <v>39</v>
      </c>
      <c r="E399" s="7">
        <f t="shared" si="18"/>
        <v>1</v>
      </c>
      <c r="F399" s="22" t="str">
        <f>IF(ISERROR(VLOOKUP($A399,#REF!,3,0)),"x",VLOOKUP($A399,#REF!,3,FALSE))</f>
        <v>x</v>
      </c>
      <c r="G399" s="9">
        <f t="shared" si="19"/>
        <v>1</v>
      </c>
      <c r="H399" s="13">
        <f t="shared" si="20"/>
        <v>160</v>
      </c>
    </row>
    <row r="400" spans="1:8" x14ac:dyDescent="0.25">
      <c r="A400" s="2" t="str">
        <f>"BWS-30WNW12S"</f>
        <v>BWS-30WNW12S</v>
      </c>
      <c r="B400" s="2" t="str">
        <f>"BWS Schienenstrahler, CoB LED, 26W, 15°, 3500K, Gehäuse schwarz"</f>
        <v>BWS Schienenstrahler, CoB LED, 26W, 15°, 3500K, Gehäuse schwarz</v>
      </c>
      <c r="C400" s="16">
        <v>160</v>
      </c>
      <c r="D400" s="11">
        <v>39</v>
      </c>
      <c r="E400" s="7">
        <f t="shared" si="18"/>
        <v>1</v>
      </c>
      <c r="F400" s="22" t="str">
        <f>IF(ISERROR(VLOOKUP($A400,#REF!,3,0)),"x",VLOOKUP($A400,#REF!,3,FALSE))</f>
        <v>x</v>
      </c>
      <c r="G400" s="9">
        <f t="shared" si="19"/>
        <v>1</v>
      </c>
      <c r="H400" s="13">
        <f t="shared" si="20"/>
        <v>160</v>
      </c>
    </row>
    <row r="401" spans="1:8" x14ac:dyDescent="0.25">
      <c r="A401" s="2" t="str">
        <f>"BWS-30WNW17-7"</f>
        <v>BWS-30WNW17-7</v>
      </c>
      <c r="B401" s="2" t="str">
        <f>"BWS Schienenstrahler, CoB LED, 26W, 24°, 3500K, Gehäuse alugrau"</f>
        <v>BWS Schienenstrahler, CoB LED, 26W, 24°, 3500K, Gehäuse alugrau</v>
      </c>
      <c r="C401" s="16">
        <v>160</v>
      </c>
      <c r="D401" s="11">
        <v>39</v>
      </c>
      <c r="E401" s="7">
        <f t="shared" si="18"/>
        <v>1</v>
      </c>
      <c r="F401" s="22" t="str">
        <f>IF(ISERROR(VLOOKUP($A401,#REF!,3,0)),"x",VLOOKUP($A401,#REF!,3,FALSE))</f>
        <v>x</v>
      </c>
      <c r="G401" s="9">
        <f t="shared" si="19"/>
        <v>1</v>
      </c>
      <c r="H401" s="13">
        <f t="shared" si="20"/>
        <v>160</v>
      </c>
    </row>
    <row r="402" spans="1:8" x14ac:dyDescent="0.25">
      <c r="A402" s="2" t="str">
        <f>"BWS-30WNW17-7-60"</f>
        <v>BWS-30WNW17-7-60</v>
      </c>
      <c r="B402" s="2" t="str">
        <f>"BWS Schienenstrahler, CoB LED, 26W, 60°, 3500K, Gehäuse alugrau"</f>
        <v>BWS Schienenstrahler, CoB LED, 26W, 60°, 3500K, Gehäuse alugrau</v>
      </c>
      <c r="C402" s="16">
        <v>160</v>
      </c>
      <c r="D402" s="11">
        <v>39</v>
      </c>
      <c r="E402" s="7">
        <f t="shared" si="18"/>
        <v>1</v>
      </c>
      <c r="F402" s="22" t="str">
        <f>IF(ISERROR(VLOOKUP($A402,#REF!,3,0)),"x",VLOOKUP($A402,#REF!,3,FALSE))</f>
        <v>x</v>
      </c>
      <c r="G402" s="9">
        <f t="shared" si="19"/>
        <v>1</v>
      </c>
      <c r="H402" s="13">
        <f t="shared" si="20"/>
        <v>160</v>
      </c>
    </row>
    <row r="403" spans="1:8" x14ac:dyDescent="0.25">
      <c r="A403" s="2" t="str">
        <f>"BWS-30WNW17-7F"</f>
        <v>BWS-30WNW17-7F</v>
      </c>
      <c r="B403" s="2" t="str">
        <f>"BWS Schienenstrahler, CoB LED, 26W, 40°, 3500K, Gehäuse alugrau"</f>
        <v>BWS Schienenstrahler, CoB LED, 26W, 40°, 3500K, Gehäuse alugrau</v>
      </c>
      <c r="C403" s="16">
        <v>160</v>
      </c>
      <c r="D403" s="11">
        <v>39</v>
      </c>
      <c r="E403" s="7">
        <f t="shared" si="18"/>
        <v>1</v>
      </c>
      <c r="F403" s="22" t="str">
        <f>IF(ISERROR(VLOOKUP($A403,#REF!,3,0)),"x",VLOOKUP($A403,#REF!,3,FALSE))</f>
        <v>x</v>
      </c>
      <c r="G403" s="9">
        <f t="shared" si="19"/>
        <v>1</v>
      </c>
      <c r="H403" s="13">
        <f t="shared" si="20"/>
        <v>160</v>
      </c>
    </row>
    <row r="404" spans="1:8" x14ac:dyDescent="0.25">
      <c r="A404" s="2" t="str">
        <f>"BWS-30WNW17-7S"</f>
        <v>BWS-30WNW17-7S</v>
      </c>
      <c r="B404" s="2" t="str">
        <f>"BWS Schienenstrahler, CoB LED, 26W, 15°, 3500K, Gehäuse alugrau"</f>
        <v>BWS Schienenstrahler, CoB LED, 26W, 15°, 3500K, Gehäuse alugrau</v>
      </c>
      <c r="C404" s="16">
        <v>160</v>
      </c>
      <c r="D404" s="11">
        <v>39</v>
      </c>
      <c r="E404" s="7">
        <f t="shared" si="18"/>
        <v>1</v>
      </c>
      <c r="F404" s="22" t="str">
        <f>IF(ISERROR(VLOOKUP($A404,#REF!,3,0)),"x",VLOOKUP($A404,#REF!,3,FALSE))</f>
        <v>x</v>
      </c>
      <c r="G404" s="9">
        <f t="shared" si="19"/>
        <v>1</v>
      </c>
      <c r="H404" s="13">
        <f t="shared" si="20"/>
        <v>160</v>
      </c>
    </row>
    <row r="405" spans="1:8" x14ac:dyDescent="0.25">
      <c r="A405" s="2" t="str">
        <f>"BWS-30WW11-1"</f>
        <v>BWS-30WW11-1</v>
      </c>
      <c r="B405" s="2" t="str">
        <f>"BWS Schienenstrahler, CoB LED, 26W, 24°, 3000K, Gehäuse weiss"</f>
        <v>BWS Schienenstrahler, CoB LED, 26W, 24°, 3000K, Gehäuse weiss</v>
      </c>
      <c r="C405" s="16">
        <v>160</v>
      </c>
      <c r="D405" s="11">
        <v>39</v>
      </c>
      <c r="E405" s="7">
        <f t="shared" si="18"/>
        <v>1</v>
      </c>
      <c r="F405" s="22" t="str">
        <f>IF(ISERROR(VLOOKUP($A405,#REF!,3,0)),"x",VLOOKUP($A405,#REF!,3,FALSE))</f>
        <v>x</v>
      </c>
      <c r="G405" s="9">
        <f t="shared" si="19"/>
        <v>1</v>
      </c>
      <c r="H405" s="13">
        <f t="shared" si="20"/>
        <v>160</v>
      </c>
    </row>
    <row r="406" spans="1:8" x14ac:dyDescent="0.25">
      <c r="A406" s="2" t="str">
        <f>"BWS-30WW11-1-60"</f>
        <v>BWS-30WW11-1-60</v>
      </c>
      <c r="B406" s="2" t="str">
        <f>"BWS Schienenstrahler, CoB LED, 26W, 60°, 3000K, Gehäuse weiss"</f>
        <v>BWS Schienenstrahler, CoB LED, 26W, 60°, 3000K, Gehäuse weiss</v>
      </c>
      <c r="C406" s="16">
        <v>160</v>
      </c>
      <c r="D406" s="11">
        <v>39</v>
      </c>
      <c r="E406" s="7">
        <f t="shared" si="18"/>
        <v>1</v>
      </c>
      <c r="F406" s="22" t="str">
        <f>IF(ISERROR(VLOOKUP($A406,#REF!,3,0)),"x",VLOOKUP($A406,#REF!,3,FALSE))</f>
        <v>x</v>
      </c>
      <c r="G406" s="9">
        <f t="shared" si="19"/>
        <v>1</v>
      </c>
      <c r="H406" s="13">
        <f t="shared" si="20"/>
        <v>160</v>
      </c>
    </row>
    <row r="407" spans="1:8" x14ac:dyDescent="0.25">
      <c r="A407" s="2" t="str">
        <f>"BWS-30WW11-1F"</f>
        <v>BWS-30WW11-1F</v>
      </c>
      <c r="B407" s="2" t="str">
        <f>"BWS Schienenstrahler, CoB LED, 26W, 40°, 3000K, Gehäuse weiss"</f>
        <v>BWS Schienenstrahler, CoB LED, 26W, 40°, 3000K, Gehäuse weiss</v>
      </c>
      <c r="C407" s="16">
        <v>160</v>
      </c>
      <c r="D407" s="11">
        <v>39</v>
      </c>
      <c r="E407" s="7">
        <f t="shared" si="18"/>
        <v>1</v>
      </c>
      <c r="F407" s="22" t="str">
        <f>IF(ISERROR(VLOOKUP($A407,#REF!,3,0)),"x",VLOOKUP($A407,#REF!,3,FALSE))</f>
        <v>x</v>
      </c>
      <c r="G407" s="9">
        <f t="shared" si="19"/>
        <v>1</v>
      </c>
      <c r="H407" s="13">
        <f t="shared" si="20"/>
        <v>160</v>
      </c>
    </row>
    <row r="408" spans="1:8" x14ac:dyDescent="0.25">
      <c r="A408" s="2" t="str">
        <f>"BWS-30WW11-1S"</f>
        <v>BWS-30WW11-1S</v>
      </c>
      <c r="B408" s="2" t="str">
        <f>"BWS Schienenstrahler, CoB LED, 26W, 15°, 3000K, Gehäuse weiss"</f>
        <v>BWS Schienenstrahler, CoB LED, 26W, 15°, 3000K, Gehäuse weiss</v>
      </c>
      <c r="C408" s="16">
        <v>160</v>
      </c>
      <c r="D408" s="11">
        <v>39</v>
      </c>
      <c r="E408" s="7">
        <f t="shared" si="18"/>
        <v>1</v>
      </c>
      <c r="F408" s="22" t="str">
        <f>IF(ISERROR(VLOOKUP($A408,#REF!,3,0)),"x",VLOOKUP($A408,#REF!,3,FALSE))</f>
        <v>x</v>
      </c>
      <c r="G408" s="9">
        <f t="shared" si="19"/>
        <v>1</v>
      </c>
      <c r="H408" s="13">
        <f t="shared" si="20"/>
        <v>160</v>
      </c>
    </row>
    <row r="409" spans="1:8" x14ac:dyDescent="0.25">
      <c r="A409" s="2" t="str">
        <f>"BWS-30WW12"</f>
        <v>BWS-30WW12</v>
      </c>
      <c r="B409" s="2" t="str">
        <f>"BWS Schienenstrahler, CoB LED, 26W, 24°, 3000K, Gehäuse schwarz"</f>
        <v>BWS Schienenstrahler, CoB LED, 26W, 24°, 3000K, Gehäuse schwarz</v>
      </c>
      <c r="C409" s="16">
        <v>160</v>
      </c>
      <c r="D409" s="11">
        <v>39</v>
      </c>
      <c r="E409" s="7">
        <f t="shared" si="18"/>
        <v>1</v>
      </c>
      <c r="F409" s="22" t="str">
        <f>IF(ISERROR(VLOOKUP($A409,#REF!,3,0)),"x",VLOOKUP($A409,#REF!,3,FALSE))</f>
        <v>x</v>
      </c>
      <c r="G409" s="9">
        <f t="shared" si="19"/>
        <v>1</v>
      </c>
      <c r="H409" s="13">
        <f t="shared" si="20"/>
        <v>160</v>
      </c>
    </row>
    <row r="410" spans="1:8" x14ac:dyDescent="0.25">
      <c r="A410" s="2" t="str">
        <f>"BWS-30WW12-1"</f>
        <v>BWS-30WW12-1</v>
      </c>
      <c r="B410" s="2" t="str">
        <f>"BWS Schienenstrahler, CoB LED, 26W, 24°, 3000K, Gehäuse schwarz/weiss"</f>
        <v>BWS Schienenstrahler, CoB LED, 26W, 24°, 3000K, Gehäuse schwarz/weiss</v>
      </c>
      <c r="C410" s="16">
        <v>160</v>
      </c>
      <c r="D410" s="11">
        <v>39</v>
      </c>
      <c r="E410" s="7">
        <f t="shared" si="18"/>
        <v>1</v>
      </c>
      <c r="F410" s="22" t="str">
        <f>IF(ISERROR(VLOOKUP($A410,#REF!,3,0)),"x",VLOOKUP($A410,#REF!,3,FALSE))</f>
        <v>x</v>
      </c>
      <c r="G410" s="9">
        <f t="shared" si="19"/>
        <v>1</v>
      </c>
      <c r="H410" s="13">
        <f t="shared" si="20"/>
        <v>160</v>
      </c>
    </row>
    <row r="411" spans="1:8" x14ac:dyDescent="0.25">
      <c r="A411" s="2" t="str">
        <f>"BWS-30WW12-1-60"</f>
        <v>BWS-30WW12-1-60</v>
      </c>
      <c r="B411" s="2" t="str">
        <f>"BWS Schienenstrahler, CoB LED, 26W, 60°, 3000K, Gehäuse schwarz/weiß"</f>
        <v>BWS Schienenstrahler, CoB LED, 26W, 60°, 3000K, Gehäuse schwarz/weiß</v>
      </c>
      <c r="C411" s="16">
        <v>160</v>
      </c>
      <c r="D411" s="11">
        <v>39</v>
      </c>
      <c r="E411" s="7">
        <f t="shared" si="18"/>
        <v>1</v>
      </c>
      <c r="F411" s="22" t="str">
        <f>IF(ISERROR(VLOOKUP($A411,#REF!,3,0)),"x",VLOOKUP($A411,#REF!,3,FALSE))</f>
        <v>x</v>
      </c>
      <c r="G411" s="9">
        <f t="shared" si="19"/>
        <v>1</v>
      </c>
      <c r="H411" s="13">
        <f t="shared" si="20"/>
        <v>160</v>
      </c>
    </row>
    <row r="412" spans="1:8" x14ac:dyDescent="0.25">
      <c r="A412" s="2" t="str">
        <f>"BWS-30WW12-1F"</f>
        <v>BWS-30WW12-1F</v>
      </c>
      <c r="B412" s="2" t="str">
        <f>"BWS Schienenstrahler, CoB LED, 26W, 40°, 3000K, Gehäuse schwarz/weiss"</f>
        <v>BWS Schienenstrahler, CoB LED, 26W, 40°, 3000K, Gehäuse schwarz/weiss</v>
      </c>
      <c r="C412" s="16">
        <v>160</v>
      </c>
      <c r="D412" s="11">
        <v>39</v>
      </c>
      <c r="E412" s="7">
        <f t="shared" si="18"/>
        <v>1</v>
      </c>
      <c r="F412" s="22" t="str">
        <f>IF(ISERROR(VLOOKUP($A412,#REF!,3,0)),"x",VLOOKUP($A412,#REF!,3,FALSE))</f>
        <v>x</v>
      </c>
      <c r="G412" s="9">
        <f t="shared" si="19"/>
        <v>1</v>
      </c>
      <c r="H412" s="13">
        <f t="shared" si="20"/>
        <v>160</v>
      </c>
    </row>
    <row r="413" spans="1:8" x14ac:dyDescent="0.25">
      <c r="A413" s="2" t="str">
        <f>"BWS-30WW12-1S"</f>
        <v>BWS-30WW12-1S</v>
      </c>
      <c r="B413" s="2" t="str">
        <f>"BWS Schienenstrahler, CoB LED, 26W, 15°, 3000K, Gehäuse schwarz/weiß"</f>
        <v>BWS Schienenstrahler, CoB LED, 26W, 15°, 3000K, Gehäuse schwarz/weiß</v>
      </c>
      <c r="C413" s="16">
        <v>160</v>
      </c>
      <c r="D413" s="11">
        <v>39</v>
      </c>
      <c r="E413" s="7">
        <f t="shared" si="18"/>
        <v>1</v>
      </c>
      <c r="F413" s="22" t="str">
        <f>IF(ISERROR(VLOOKUP($A413,#REF!,3,0)),"x",VLOOKUP($A413,#REF!,3,FALSE))</f>
        <v>x</v>
      </c>
      <c r="G413" s="9">
        <f t="shared" si="19"/>
        <v>1</v>
      </c>
      <c r="H413" s="13">
        <f t="shared" si="20"/>
        <v>160</v>
      </c>
    </row>
    <row r="414" spans="1:8" x14ac:dyDescent="0.25">
      <c r="A414" s="2" t="str">
        <f>"BWS-30WW12-60"</f>
        <v>BWS-30WW12-60</v>
      </c>
      <c r="B414" s="2" t="str">
        <f>"BWS Schienenstrahler, CoB LED, 26W, 60°, 3000K, Gehäuse schwarz"</f>
        <v>BWS Schienenstrahler, CoB LED, 26W, 60°, 3000K, Gehäuse schwarz</v>
      </c>
      <c r="C414" s="16">
        <v>160</v>
      </c>
      <c r="D414" s="11">
        <v>39</v>
      </c>
      <c r="E414" s="7">
        <f t="shared" si="18"/>
        <v>1</v>
      </c>
      <c r="F414" s="22" t="str">
        <f>IF(ISERROR(VLOOKUP($A414,#REF!,3,0)),"x",VLOOKUP($A414,#REF!,3,FALSE))</f>
        <v>x</v>
      </c>
      <c r="G414" s="9">
        <f t="shared" si="19"/>
        <v>1</v>
      </c>
      <c r="H414" s="13">
        <f t="shared" si="20"/>
        <v>160</v>
      </c>
    </row>
    <row r="415" spans="1:8" x14ac:dyDescent="0.25">
      <c r="A415" s="2" t="str">
        <f>"BWS-30WW12F"</f>
        <v>BWS-30WW12F</v>
      </c>
      <c r="B415" s="2" t="str">
        <f>"BWS Schienenstrahler, CoB LED, 26W, 40°, 3000K, Gehäuse schwarz"</f>
        <v>BWS Schienenstrahler, CoB LED, 26W, 40°, 3000K, Gehäuse schwarz</v>
      </c>
      <c r="C415" s="16">
        <v>160</v>
      </c>
      <c r="D415" s="11">
        <v>39</v>
      </c>
      <c r="E415" s="7">
        <f t="shared" si="18"/>
        <v>1</v>
      </c>
      <c r="F415" s="22" t="str">
        <f>IF(ISERROR(VLOOKUP($A415,#REF!,3,0)),"x",VLOOKUP($A415,#REF!,3,FALSE))</f>
        <v>x</v>
      </c>
      <c r="G415" s="9">
        <f t="shared" si="19"/>
        <v>1</v>
      </c>
      <c r="H415" s="13">
        <f t="shared" si="20"/>
        <v>160</v>
      </c>
    </row>
    <row r="416" spans="1:8" x14ac:dyDescent="0.25">
      <c r="A416" s="2" t="str">
        <f>"BWS-30WW12S"</f>
        <v>BWS-30WW12S</v>
      </c>
      <c r="B416" s="2" t="str">
        <f>"BWS Schienenstrahler, CoB LED, 26W, 15°, 3000K, Gehäuse schwarz"</f>
        <v>BWS Schienenstrahler, CoB LED, 26W, 15°, 3000K, Gehäuse schwarz</v>
      </c>
      <c r="C416" s="16">
        <v>160</v>
      </c>
      <c r="D416" s="11">
        <v>39</v>
      </c>
      <c r="E416" s="7">
        <f t="shared" si="18"/>
        <v>1</v>
      </c>
      <c r="F416" s="22" t="str">
        <f>IF(ISERROR(VLOOKUP($A416,#REF!,3,0)),"x",VLOOKUP($A416,#REF!,3,FALSE))</f>
        <v>x</v>
      </c>
      <c r="G416" s="9">
        <f t="shared" si="19"/>
        <v>1</v>
      </c>
      <c r="H416" s="13">
        <f t="shared" si="20"/>
        <v>160</v>
      </c>
    </row>
    <row r="417" spans="1:8" x14ac:dyDescent="0.25">
      <c r="A417" s="2" t="str">
        <f>"BWS-30WW17-7"</f>
        <v>BWS-30WW17-7</v>
      </c>
      <c r="B417" s="2" t="str">
        <f>"BWS Schienenstrahler, CoB LED, 24W, 24°, 3000K, Gehäuse alugrau"</f>
        <v>BWS Schienenstrahler, CoB LED, 24W, 24°, 3000K, Gehäuse alugrau</v>
      </c>
      <c r="C417" s="16">
        <v>160</v>
      </c>
      <c r="D417" s="11">
        <v>39</v>
      </c>
      <c r="E417" s="7">
        <f t="shared" si="18"/>
        <v>1</v>
      </c>
      <c r="F417" s="22" t="str">
        <f>IF(ISERROR(VLOOKUP($A417,#REF!,3,0)),"x",VLOOKUP($A417,#REF!,3,FALSE))</f>
        <v>x</v>
      </c>
      <c r="G417" s="9">
        <f t="shared" si="19"/>
        <v>1</v>
      </c>
      <c r="H417" s="13">
        <f t="shared" si="20"/>
        <v>160</v>
      </c>
    </row>
    <row r="418" spans="1:8" x14ac:dyDescent="0.25">
      <c r="A418" s="2" t="str">
        <f>"BWS-30WW17-7-60"</f>
        <v>BWS-30WW17-7-60</v>
      </c>
      <c r="B418" s="2" t="str">
        <f>"BWS Schienenstrahler, CoB LED, 26W, 60°, 3000K, Gehäuse alugrau"</f>
        <v>BWS Schienenstrahler, CoB LED, 26W, 60°, 3000K, Gehäuse alugrau</v>
      </c>
      <c r="C418" s="16">
        <v>160</v>
      </c>
      <c r="D418" s="11">
        <v>39</v>
      </c>
      <c r="E418" s="7">
        <f t="shared" si="18"/>
        <v>1</v>
      </c>
      <c r="F418" s="22" t="str">
        <f>IF(ISERROR(VLOOKUP($A418,#REF!,3,0)),"x",VLOOKUP($A418,#REF!,3,FALSE))</f>
        <v>x</v>
      </c>
      <c r="G418" s="9">
        <f t="shared" si="19"/>
        <v>1</v>
      </c>
      <c r="H418" s="13">
        <f t="shared" si="20"/>
        <v>160</v>
      </c>
    </row>
    <row r="419" spans="1:8" x14ac:dyDescent="0.25">
      <c r="A419" s="2" t="str">
        <f>"BWS-30WW17-7F"</f>
        <v>BWS-30WW17-7F</v>
      </c>
      <c r="B419" s="2" t="str">
        <f>"BWS Schienenstrahler, CoB LED, 26W, 40°, 3000K, Gehäuse alugrau"</f>
        <v>BWS Schienenstrahler, CoB LED, 26W, 40°, 3000K, Gehäuse alugrau</v>
      </c>
      <c r="C419" s="16">
        <v>160</v>
      </c>
      <c r="D419" s="11">
        <v>39</v>
      </c>
      <c r="E419" s="7">
        <f t="shared" si="18"/>
        <v>1</v>
      </c>
      <c r="F419" s="22" t="str">
        <f>IF(ISERROR(VLOOKUP($A419,#REF!,3,0)),"x",VLOOKUP($A419,#REF!,3,FALSE))</f>
        <v>x</v>
      </c>
      <c r="G419" s="9">
        <f t="shared" si="19"/>
        <v>1</v>
      </c>
      <c r="H419" s="13">
        <f t="shared" si="20"/>
        <v>160</v>
      </c>
    </row>
    <row r="420" spans="1:8" x14ac:dyDescent="0.25">
      <c r="A420" s="2" t="str">
        <f>"BWS-30WW17-7S"</f>
        <v>BWS-30WW17-7S</v>
      </c>
      <c r="B420" s="2" t="str">
        <f>"BWS Schienenstrahler, CoB LED, 26W, 15°, 3000K, Gehäuse alugrau"</f>
        <v>BWS Schienenstrahler, CoB LED, 26W, 15°, 3000K, Gehäuse alugrau</v>
      </c>
      <c r="C420" s="16">
        <v>160</v>
      </c>
      <c r="D420" s="11">
        <v>39</v>
      </c>
      <c r="E420" s="7">
        <f t="shared" si="18"/>
        <v>1</v>
      </c>
      <c r="F420" s="22" t="str">
        <f>IF(ISERROR(VLOOKUP($A420,#REF!,3,0)),"x",VLOOKUP($A420,#REF!,3,FALSE))</f>
        <v>x</v>
      </c>
      <c r="G420" s="9">
        <f t="shared" si="19"/>
        <v>1</v>
      </c>
      <c r="H420" s="13">
        <f t="shared" si="20"/>
        <v>160</v>
      </c>
    </row>
    <row r="421" spans="1:8" x14ac:dyDescent="0.25">
      <c r="A421" s="2" t="str">
        <f>"BWS-40NW11-1"</f>
        <v>BWS-40NW11-1</v>
      </c>
      <c r="B421" s="2" t="str">
        <f>"BWS, Schienenstrahler, CoB LED, 40W, 24°, 4000K, Gehäuse weiß"</f>
        <v>BWS, Schienenstrahler, CoB LED, 40W, 24°, 4000K, Gehäuse weiß</v>
      </c>
      <c r="C421" s="16">
        <v>172.5</v>
      </c>
      <c r="D421" s="11">
        <v>41</v>
      </c>
      <c r="E421" s="7">
        <f t="shared" si="18"/>
        <v>1</v>
      </c>
      <c r="F421" s="22" t="str">
        <f>IF(ISERROR(VLOOKUP($A421,#REF!,3,0)),"x",VLOOKUP($A421,#REF!,3,FALSE))</f>
        <v>x</v>
      </c>
      <c r="G421" s="9">
        <f t="shared" si="19"/>
        <v>1</v>
      </c>
      <c r="H421" s="13">
        <f t="shared" si="20"/>
        <v>172.5</v>
      </c>
    </row>
    <row r="422" spans="1:8" x14ac:dyDescent="0.25">
      <c r="A422" s="2" t="str">
        <f>"BWS-40NW11-1-60"</f>
        <v>BWS-40NW11-1-60</v>
      </c>
      <c r="B422" s="2" t="str">
        <f>"BWS, Schienenstrahler, CoB LED, 40W, 60°, 4000K, Gehäuse weiß"</f>
        <v>BWS, Schienenstrahler, CoB LED, 40W, 60°, 4000K, Gehäuse weiß</v>
      </c>
      <c r="C422" s="16">
        <v>172.5</v>
      </c>
      <c r="D422" s="11">
        <v>41</v>
      </c>
      <c r="E422" s="7">
        <f t="shared" si="18"/>
        <v>1</v>
      </c>
      <c r="F422" s="22" t="str">
        <f>IF(ISERROR(VLOOKUP($A422,#REF!,3,0)),"x",VLOOKUP($A422,#REF!,3,FALSE))</f>
        <v>x</v>
      </c>
      <c r="G422" s="9">
        <f t="shared" si="19"/>
        <v>1</v>
      </c>
      <c r="H422" s="13">
        <f t="shared" si="20"/>
        <v>172.5</v>
      </c>
    </row>
    <row r="423" spans="1:8" x14ac:dyDescent="0.25">
      <c r="A423" s="2" t="str">
        <f>"BWS-40NW11-1F"</f>
        <v>BWS-40NW11-1F</v>
      </c>
      <c r="B423" s="2" t="str">
        <f>"BWS, Schienenstrahler, CoB LED, 40W, 40°, 4000K, Gehäuse weiß"</f>
        <v>BWS, Schienenstrahler, CoB LED, 40W, 40°, 4000K, Gehäuse weiß</v>
      </c>
      <c r="C423" s="16">
        <v>172.5</v>
      </c>
      <c r="D423" s="11">
        <v>41</v>
      </c>
      <c r="E423" s="7">
        <f t="shared" si="18"/>
        <v>1</v>
      </c>
      <c r="F423" s="22" t="str">
        <f>IF(ISERROR(VLOOKUP($A423,#REF!,3,0)),"x",VLOOKUP($A423,#REF!,3,FALSE))</f>
        <v>x</v>
      </c>
      <c r="G423" s="9">
        <f t="shared" si="19"/>
        <v>1</v>
      </c>
      <c r="H423" s="13">
        <f t="shared" si="20"/>
        <v>172.5</v>
      </c>
    </row>
    <row r="424" spans="1:8" x14ac:dyDescent="0.25">
      <c r="A424" s="2" t="str">
        <f>"BWS-40NW11-1S"</f>
        <v>BWS-40NW11-1S</v>
      </c>
      <c r="B424" s="2" t="str">
        <f>"BWS, Schienenstrahler, CoB LED, 40W, 15°, 4000K, Gehäuse weiß"</f>
        <v>BWS, Schienenstrahler, CoB LED, 40W, 15°, 4000K, Gehäuse weiß</v>
      </c>
      <c r="C424" s="16">
        <v>172.5</v>
      </c>
      <c r="D424" s="11">
        <v>41</v>
      </c>
      <c r="E424" s="7">
        <f t="shared" si="18"/>
        <v>1</v>
      </c>
      <c r="F424" s="22" t="str">
        <f>IF(ISERROR(VLOOKUP($A424,#REF!,3,0)),"x",VLOOKUP($A424,#REF!,3,FALSE))</f>
        <v>x</v>
      </c>
      <c r="G424" s="9">
        <f t="shared" si="19"/>
        <v>1</v>
      </c>
      <c r="H424" s="13">
        <f t="shared" si="20"/>
        <v>172.5</v>
      </c>
    </row>
    <row r="425" spans="1:8" x14ac:dyDescent="0.25">
      <c r="A425" s="2" t="str">
        <f>"BWS-40NW12"</f>
        <v>BWS-40NW12</v>
      </c>
      <c r="B425" s="2" t="str">
        <f>"BWS, Schienenstrahler, CoB LED, 40W, 24°, 4000K, Gehäuse schwarz"</f>
        <v>BWS, Schienenstrahler, CoB LED, 40W, 24°, 4000K, Gehäuse schwarz</v>
      </c>
      <c r="C425" s="16">
        <v>172.5</v>
      </c>
      <c r="D425" s="11">
        <v>41</v>
      </c>
      <c r="E425" s="7">
        <f t="shared" si="18"/>
        <v>1</v>
      </c>
      <c r="F425" s="22" t="str">
        <f>IF(ISERROR(VLOOKUP($A425,#REF!,3,0)),"x",VLOOKUP($A425,#REF!,3,FALSE))</f>
        <v>x</v>
      </c>
      <c r="G425" s="9">
        <f t="shared" si="19"/>
        <v>1</v>
      </c>
      <c r="H425" s="13">
        <f t="shared" si="20"/>
        <v>172.5</v>
      </c>
    </row>
    <row r="426" spans="1:8" x14ac:dyDescent="0.25">
      <c r="A426" s="2" t="str">
        <f>"BWS-40NW12-1"</f>
        <v>BWS-40NW12-1</v>
      </c>
      <c r="B426" s="2" t="str">
        <f>"BWS, Schienenstrahler, CoB LED, 40W, 24°, 4000K, Gehäuse schwarz/weiß"</f>
        <v>BWS, Schienenstrahler, CoB LED, 40W, 24°, 4000K, Gehäuse schwarz/weiß</v>
      </c>
      <c r="C426" s="16">
        <v>172.5</v>
      </c>
      <c r="D426" s="11">
        <v>41</v>
      </c>
      <c r="E426" s="7">
        <f t="shared" si="18"/>
        <v>1</v>
      </c>
      <c r="F426" s="22" t="str">
        <f>IF(ISERROR(VLOOKUP($A426,#REF!,3,0)),"x",VLOOKUP($A426,#REF!,3,FALSE))</f>
        <v>x</v>
      </c>
      <c r="G426" s="9">
        <f t="shared" si="19"/>
        <v>1</v>
      </c>
      <c r="H426" s="13">
        <f t="shared" si="20"/>
        <v>172.5</v>
      </c>
    </row>
    <row r="427" spans="1:8" x14ac:dyDescent="0.25">
      <c r="A427" s="2" t="str">
        <f>"BWS-40NW12-1-60"</f>
        <v>BWS-40NW12-1-60</v>
      </c>
      <c r="B427" s="2" t="str">
        <f>"BWS, Schienenstrahler, CoB LED, 40W, 60°, 4000K, Gehäuse schwarz/weiß"</f>
        <v>BWS, Schienenstrahler, CoB LED, 40W, 60°, 4000K, Gehäuse schwarz/weiß</v>
      </c>
      <c r="C427" s="16">
        <v>172.5</v>
      </c>
      <c r="D427" s="11">
        <v>41</v>
      </c>
      <c r="E427" s="7">
        <f t="shared" si="18"/>
        <v>1</v>
      </c>
      <c r="F427" s="22" t="str">
        <f>IF(ISERROR(VLOOKUP($A427,#REF!,3,0)),"x",VLOOKUP($A427,#REF!,3,FALSE))</f>
        <v>x</v>
      </c>
      <c r="G427" s="9">
        <f t="shared" si="19"/>
        <v>1</v>
      </c>
      <c r="H427" s="13">
        <f t="shared" si="20"/>
        <v>172.5</v>
      </c>
    </row>
    <row r="428" spans="1:8" x14ac:dyDescent="0.25">
      <c r="A428" s="2" t="str">
        <f>"BWS-40NW12-1F"</f>
        <v>BWS-40NW12-1F</v>
      </c>
      <c r="B428" s="2" t="str">
        <f>"BWS, Schienenstrahler, CoB LED, 40W, 40°, 4000K, Gehäuse schwarz/weiß"</f>
        <v>BWS, Schienenstrahler, CoB LED, 40W, 40°, 4000K, Gehäuse schwarz/weiß</v>
      </c>
      <c r="C428" s="16">
        <v>172.5</v>
      </c>
      <c r="D428" s="11">
        <v>41</v>
      </c>
      <c r="E428" s="7">
        <f t="shared" si="18"/>
        <v>1</v>
      </c>
      <c r="F428" s="22" t="str">
        <f>IF(ISERROR(VLOOKUP($A428,#REF!,3,0)),"x",VLOOKUP($A428,#REF!,3,FALSE))</f>
        <v>x</v>
      </c>
      <c r="G428" s="9">
        <f t="shared" si="19"/>
        <v>1</v>
      </c>
      <c r="H428" s="13">
        <f t="shared" si="20"/>
        <v>172.5</v>
      </c>
    </row>
    <row r="429" spans="1:8" x14ac:dyDescent="0.25">
      <c r="A429" s="2" t="str">
        <f>"BWS-40NW12-1S"</f>
        <v>BWS-40NW12-1S</v>
      </c>
      <c r="B429" s="2" t="str">
        <f>"BWS, Schienenstrahler, CoB LED, 40W, 15°, 4000K, Gehäuse schwarz/weiß"</f>
        <v>BWS, Schienenstrahler, CoB LED, 40W, 15°, 4000K, Gehäuse schwarz/weiß</v>
      </c>
      <c r="C429" s="16">
        <v>172.5</v>
      </c>
      <c r="D429" s="11">
        <v>41</v>
      </c>
      <c r="E429" s="7">
        <f t="shared" si="18"/>
        <v>1</v>
      </c>
      <c r="F429" s="22" t="str">
        <f>IF(ISERROR(VLOOKUP($A429,#REF!,3,0)),"x",VLOOKUP($A429,#REF!,3,FALSE))</f>
        <v>x</v>
      </c>
      <c r="G429" s="9">
        <f t="shared" si="19"/>
        <v>1</v>
      </c>
      <c r="H429" s="13">
        <f t="shared" si="20"/>
        <v>172.5</v>
      </c>
    </row>
    <row r="430" spans="1:8" x14ac:dyDescent="0.25">
      <c r="A430" s="2" t="str">
        <f>"BWS-40NW12-60"</f>
        <v>BWS-40NW12-60</v>
      </c>
      <c r="B430" s="2" t="str">
        <f>"BWS, Schienenstrahler, CoB LED, 40W, 60°, 4000K, Gehäuse schwarz"</f>
        <v>BWS, Schienenstrahler, CoB LED, 40W, 60°, 4000K, Gehäuse schwarz</v>
      </c>
      <c r="C430" s="16">
        <v>172.5</v>
      </c>
      <c r="D430" s="11">
        <v>41</v>
      </c>
      <c r="E430" s="7">
        <f t="shared" si="18"/>
        <v>1</v>
      </c>
      <c r="F430" s="22" t="str">
        <f>IF(ISERROR(VLOOKUP($A430,#REF!,3,0)),"x",VLOOKUP($A430,#REF!,3,FALSE))</f>
        <v>x</v>
      </c>
      <c r="G430" s="9">
        <f t="shared" si="19"/>
        <v>1</v>
      </c>
      <c r="H430" s="13">
        <f t="shared" si="20"/>
        <v>172.5</v>
      </c>
    </row>
    <row r="431" spans="1:8" x14ac:dyDescent="0.25">
      <c r="A431" s="2" t="str">
        <f>"BWS-40NW12F"</f>
        <v>BWS-40NW12F</v>
      </c>
      <c r="B431" s="2" t="str">
        <f>"BWS, Schienenstrahler, CoB LED, 40W, 40°, 4000K, Gehäuse schwarz"</f>
        <v>BWS, Schienenstrahler, CoB LED, 40W, 40°, 4000K, Gehäuse schwarz</v>
      </c>
      <c r="C431" s="16">
        <v>172.5</v>
      </c>
      <c r="D431" s="11">
        <v>41</v>
      </c>
      <c r="E431" s="7">
        <f t="shared" si="18"/>
        <v>1</v>
      </c>
      <c r="F431" s="22" t="str">
        <f>IF(ISERROR(VLOOKUP($A431,#REF!,3,0)),"x",VLOOKUP($A431,#REF!,3,FALSE))</f>
        <v>x</v>
      </c>
      <c r="G431" s="9">
        <f t="shared" si="19"/>
        <v>1</v>
      </c>
      <c r="H431" s="13">
        <f t="shared" si="20"/>
        <v>172.5</v>
      </c>
    </row>
    <row r="432" spans="1:8" x14ac:dyDescent="0.25">
      <c r="A432" s="2" t="str">
        <f>"BWS-40NW12S"</f>
        <v>BWS-40NW12S</v>
      </c>
      <c r="B432" s="2" t="str">
        <f>"BWS, Schienenstrahler, CoB LED, 40W, 15°, 4000K, Gehäuse schwarz"</f>
        <v>BWS, Schienenstrahler, CoB LED, 40W, 15°, 4000K, Gehäuse schwarz</v>
      </c>
      <c r="C432" s="16">
        <v>172.5</v>
      </c>
      <c r="D432" s="11">
        <v>41</v>
      </c>
      <c r="E432" s="7">
        <f t="shared" si="18"/>
        <v>1</v>
      </c>
      <c r="F432" s="22" t="str">
        <f>IF(ISERROR(VLOOKUP($A432,#REF!,3,0)),"x",VLOOKUP($A432,#REF!,3,FALSE))</f>
        <v>x</v>
      </c>
      <c r="G432" s="9">
        <f t="shared" si="19"/>
        <v>1</v>
      </c>
      <c r="H432" s="13">
        <f t="shared" si="20"/>
        <v>172.5</v>
      </c>
    </row>
    <row r="433" spans="1:8" x14ac:dyDescent="0.25">
      <c r="A433" s="2" t="str">
        <f>"BWS-40NW17-7"</f>
        <v>BWS-40NW17-7</v>
      </c>
      <c r="B433" s="2" t="str">
        <f>"BWS, Schienenstrahler, CoB LED, 40W, 24°, 4000K, Gehäuse alugrau"</f>
        <v>BWS, Schienenstrahler, CoB LED, 40W, 24°, 4000K, Gehäuse alugrau</v>
      </c>
      <c r="C433" s="16">
        <v>172.5</v>
      </c>
      <c r="D433" s="11">
        <v>41</v>
      </c>
      <c r="E433" s="7">
        <f t="shared" si="18"/>
        <v>1</v>
      </c>
      <c r="F433" s="22" t="str">
        <f>IF(ISERROR(VLOOKUP($A433,#REF!,3,0)),"x",VLOOKUP($A433,#REF!,3,FALSE))</f>
        <v>x</v>
      </c>
      <c r="G433" s="9">
        <f t="shared" si="19"/>
        <v>1</v>
      </c>
      <c r="H433" s="13">
        <f t="shared" si="20"/>
        <v>172.5</v>
      </c>
    </row>
    <row r="434" spans="1:8" x14ac:dyDescent="0.25">
      <c r="A434" s="2" t="str">
        <f>"BWS-40NW17-7-60"</f>
        <v>BWS-40NW17-7-60</v>
      </c>
      <c r="B434" s="2" t="str">
        <f>"BWS, Schienenstrahler, CoB LED, 40W, 60°, 4000K, Gehäuse alugrau"</f>
        <v>BWS, Schienenstrahler, CoB LED, 40W, 60°, 4000K, Gehäuse alugrau</v>
      </c>
      <c r="C434" s="16">
        <v>172.5</v>
      </c>
      <c r="D434" s="11">
        <v>41</v>
      </c>
      <c r="E434" s="7">
        <f t="shared" si="18"/>
        <v>1</v>
      </c>
      <c r="F434" s="22" t="str">
        <f>IF(ISERROR(VLOOKUP($A434,#REF!,3,0)),"x",VLOOKUP($A434,#REF!,3,FALSE))</f>
        <v>x</v>
      </c>
      <c r="G434" s="9">
        <f t="shared" si="19"/>
        <v>1</v>
      </c>
      <c r="H434" s="13">
        <f t="shared" si="20"/>
        <v>172.5</v>
      </c>
    </row>
    <row r="435" spans="1:8" x14ac:dyDescent="0.25">
      <c r="A435" s="2" t="str">
        <f>"BWS-40NW17-7F"</f>
        <v>BWS-40NW17-7F</v>
      </c>
      <c r="B435" s="2" t="str">
        <f>"BWS, Schienenstrahler, CoB LED, 40W, 40°, 4000K, Gehäuse alugrau"</f>
        <v>BWS, Schienenstrahler, CoB LED, 40W, 40°, 4000K, Gehäuse alugrau</v>
      </c>
      <c r="C435" s="16">
        <v>172.5</v>
      </c>
      <c r="D435" s="11">
        <v>41</v>
      </c>
      <c r="E435" s="7">
        <f t="shared" si="18"/>
        <v>1</v>
      </c>
      <c r="F435" s="22" t="str">
        <f>IF(ISERROR(VLOOKUP($A435,#REF!,3,0)),"x",VLOOKUP($A435,#REF!,3,FALSE))</f>
        <v>x</v>
      </c>
      <c r="G435" s="9">
        <f t="shared" si="19"/>
        <v>1</v>
      </c>
      <c r="H435" s="13">
        <f t="shared" si="20"/>
        <v>172.5</v>
      </c>
    </row>
    <row r="436" spans="1:8" x14ac:dyDescent="0.25">
      <c r="A436" s="2" t="str">
        <f>"BWS-40NW17-7S"</f>
        <v>BWS-40NW17-7S</v>
      </c>
      <c r="B436" s="2" t="str">
        <f>"BWS, Schienenstrahler, CoB LED, 40W, 15°, 4000K, Gehäuse alugrau"</f>
        <v>BWS, Schienenstrahler, CoB LED, 40W, 15°, 4000K, Gehäuse alugrau</v>
      </c>
      <c r="C436" s="16">
        <v>172.5</v>
      </c>
      <c r="D436" s="11">
        <v>41</v>
      </c>
      <c r="E436" s="7">
        <f t="shared" si="18"/>
        <v>1</v>
      </c>
      <c r="F436" s="22" t="str">
        <f>IF(ISERROR(VLOOKUP($A436,#REF!,3,0)),"x",VLOOKUP($A436,#REF!,3,FALSE))</f>
        <v>x</v>
      </c>
      <c r="G436" s="9">
        <f t="shared" si="19"/>
        <v>1</v>
      </c>
      <c r="H436" s="13">
        <f t="shared" si="20"/>
        <v>172.5</v>
      </c>
    </row>
    <row r="437" spans="1:8" x14ac:dyDescent="0.25">
      <c r="A437" s="2" t="str">
        <f>"BWS-40SW11-1"</f>
        <v>BWS-40SW11-1</v>
      </c>
      <c r="B437" s="2" t="str">
        <f>"BWS, Schienenstrahler, CoB LED, 40W, 24°, 2700K, Gehäuse weiß"</f>
        <v>BWS, Schienenstrahler, CoB LED, 40W, 24°, 2700K, Gehäuse weiß</v>
      </c>
      <c r="C437" s="16">
        <v>172.5</v>
      </c>
      <c r="D437" s="11">
        <v>41</v>
      </c>
      <c r="E437" s="7">
        <f t="shared" si="18"/>
        <v>1</v>
      </c>
      <c r="F437" s="22" t="str">
        <f>IF(ISERROR(VLOOKUP($A437,#REF!,3,0)),"x",VLOOKUP($A437,#REF!,3,FALSE))</f>
        <v>x</v>
      </c>
      <c r="G437" s="9">
        <f t="shared" si="19"/>
        <v>1</v>
      </c>
      <c r="H437" s="13">
        <f t="shared" si="20"/>
        <v>172.5</v>
      </c>
    </row>
    <row r="438" spans="1:8" x14ac:dyDescent="0.25">
      <c r="A438" s="2" t="str">
        <f>"BWS-40SW11-1-60"</f>
        <v>BWS-40SW11-1-60</v>
      </c>
      <c r="B438" s="2" t="str">
        <f>"BWS, Schienenstrahler, CoB LED, 40W, 60°, 2700K, Gehäuse weiß"</f>
        <v>BWS, Schienenstrahler, CoB LED, 40W, 60°, 2700K, Gehäuse weiß</v>
      </c>
      <c r="C438" s="16">
        <v>172.5</v>
      </c>
      <c r="D438" s="11">
        <v>41</v>
      </c>
      <c r="E438" s="7">
        <f t="shared" si="18"/>
        <v>1</v>
      </c>
      <c r="F438" s="22" t="str">
        <f>IF(ISERROR(VLOOKUP($A438,#REF!,3,0)),"x",VLOOKUP($A438,#REF!,3,FALSE))</f>
        <v>x</v>
      </c>
      <c r="G438" s="9">
        <f t="shared" si="19"/>
        <v>1</v>
      </c>
      <c r="H438" s="13">
        <f t="shared" si="20"/>
        <v>172.5</v>
      </c>
    </row>
    <row r="439" spans="1:8" x14ac:dyDescent="0.25">
      <c r="A439" s="2" t="str">
        <f>"BWS-40SW11-1F"</f>
        <v>BWS-40SW11-1F</v>
      </c>
      <c r="B439" s="2" t="str">
        <f>"BWS, Schienenstrahler, CoB LED, 40W, 40°, 2700K, Gehäuse weiß"</f>
        <v>BWS, Schienenstrahler, CoB LED, 40W, 40°, 2700K, Gehäuse weiß</v>
      </c>
      <c r="C439" s="16">
        <v>172.5</v>
      </c>
      <c r="D439" s="11">
        <v>41</v>
      </c>
      <c r="E439" s="7">
        <f t="shared" si="18"/>
        <v>1</v>
      </c>
      <c r="F439" s="22" t="str">
        <f>IF(ISERROR(VLOOKUP($A439,#REF!,3,0)),"x",VLOOKUP($A439,#REF!,3,FALSE))</f>
        <v>x</v>
      </c>
      <c r="G439" s="9">
        <f t="shared" si="19"/>
        <v>1</v>
      </c>
      <c r="H439" s="13">
        <f t="shared" si="20"/>
        <v>172.5</v>
      </c>
    </row>
    <row r="440" spans="1:8" x14ac:dyDescent="0.25">
      <c r="A440" s="2" t="str">
        <f>"BWS-40SW11-1S"</f>
        <v>BWS-40SW11-1S</v>
      </c>
      <c r="B440" s="2" t="str">
        <f>"BWS, Schienenstrahler, CoB LED, 40W, 15°, 2700K, Gehäuse weiß"</f>
        <v>BWS, Schienenstrahler, CoB LED, 40W, 15°, 2700K, Gehäuse weiß</v>
      </c>
      <c r="C440" s="16">
        <v>172.5</v>
      </c>
      <c r="D440" s="11">
        <v>41</v>
      </c>
      <c r="E440" s="7">
        <f t="shared" si="18"/>
        <v>1</v>
      </c>
      <c r="F440" s="22" t="str">
        <f>IF(ISERROR(VLOOKUP($A440,#REF!,3,0)),"x",VLOOKUP($A440,#REF!,3,FALSE))</f>
        <v>x</v>
      </c>
      <c r="G440" s="9">
        <f t="shared" si="19"/>
        <v>1</v>
      </c>
      <c r="H440" s="13">
        <f t="shared" si="20"/>
        <v>172.5</v>
      </c>
    </row>
    <row r="441" spans="1:8" x14ac:dyDescent="0.25">
      <c r="A441" s="2" t="str">
        <f>"BWS-40SW12"</f>
        <v>BWS-40SW12</v>
      </c>
      <c r="B441" s="2" t="str">
        <f>"BWS, Schienenstrahler, CoB LED, 40W, 24°, 2700K, Gehäuse schwarz"</f>
        <v>BWS, Schienenstrahler, CoB LED, 40W, 24°, 2700K, Gehäuse schwarz</v>
      </c>
      <c r="C441" s="16">
        <v>172.5</v>
      </c>
      <c r="D441" s="11">
        <v>41</v>
      </c>
      <c r="E441" s="7">
        <f t="shared" si="18"/>
        <v>1</v>
      </c>
      <c r="F441" s="22" t="str">
        <f>IF(ISERROR(VLOOKUP($A441,#REF!,3,0)),"x",VLOOKUP($A441,#REF!,3,FALSE))</f>
        <v>x</v>
      </c>
      <c r="G441" s="9">
        <f t="shared" si="19"/>
        <v>1</v>
      </c>
      <c r="H441" s="13">
        <f t="shared" si="20"/>
        <v>172.5</v>
      </c>
    </row>
    <row r="442" spans="1:8" x14ac:dyDescent="0.25">
      <c r="A442" s="2" t="str">
        <f>"BWS-40SW12-1"</f>
        <v>BWS-40SW12-1</v>
      </c>
      <c r="B442" s="2" t="str">
        <f>"BWS, Schienenstrahler, CoB LED, 40W, 24°, 2700K, Gehäuse schwarz/weiß"</f>
        <v>BWS, Schienenstrahler, CoB LED, 40W, 24°, 2700K, Gehäuse schwarz/weiß</v>
      </c>
      <c r="C442" s="16">
        <v>172.5</v>
      </c>
      <c r="D442" s="11">
        <v>41</v>
      </c>
      <c r="E442" s="7">
        <f t="shared" si="18"/>
        <v>1</v>
      </c>
      <c r="F442" s="22" t="str">
        <f>IF(ISERROR(VLOOKUP($A442,#REF!,3,0)),"x",VLOOKUP($A442,#REF!,3,FALSE))</f>
        <v>x</v>
      </c>
      <c r="G442" s="9">
        <f t="shared" si="19"/>
        <v>1</v>
      </c>
      <c r="H442" s="13">
        <f t="shared" si="20"/>
        <v>172.5</v>
      </c>
    </row>
    <row r="443" spans="1:8" x14ac:dyDescent="0.25">
      <c r="A443" s="2" t="str">
        <f>"BWS-40SW12-1-60"</f>
        <v>BWS-40SW12-1-60</v>
      </c>
      <c r="B443" s="2" t="str">
        <f>"BWS, Schienenstrahler, CoB LED, 40W, 60°, 2700K, Gehäuse schwarz/weiß"</f>
        <v>BWS, Schienenstrahler, CoB LED, 40W, 60°, 2700K, Gehäuse schwarz/weiß</v>
      </c>
      <c r="C443" s="16">
        <v>172.5</v>
      </c>
      <c r="D443" s="11">
        <v>41</v>
      </c>
      <c r="E443" s="7">
        <f t="shared" si="18"/>
        <v>1</v>
      </c>
      <c r="F443" s="22" t="str">
        <f>IF(ISERROR(VLOOKUP($A443,#REF!,3,0)),"x",VLOOKUP($A443,#REF!,3,FALSE))</f>
        <v>x</v>
      </c>
      <c r="G443" s="9">
        <f t="shared" si="19"/>
        <v>1</v>
      </c>
      <c r="H443" s="13">
        <f t="shared" si="20"/>
        <v>172.5</v>
      </c>
    </row>
    <row r="444" spans="1:8" x14ac:dyDescent="0.25">
      <c r="A444" s="2" t="str">
        <f>"BWS-40SW12-1F"</f>
        <v>BWS-40SW12-1F</v>
      </c>
      <c r="B444" s="2" t="str">
        <f>"BWS, Schienenstrahler, CoB LED, 40W, 40°, 2700K, Gehäuse schwarz/weiß"</f>
        <v>BWS, Schienenstrahler, CoB LED, 40W, 40°, 2700K, Gehäuse schwarz/weiß</v>
      </c>
      <c r="C444" s="16">
        <v>172.5</v>
      </c>
      <c r="D444" s="11">
        <v>41</v>
      </c>
      <c r="E444" s="7">
        <f t="shared" si="18"/>
        <v>1</v>
      </c>
      <c r="F444" s="22" t="str">
        <f>IF(ISERROR(VLOOKUP($A444,#REF!,3,0)),"x",VLOOKUP($A444,#REF!,3,FALSE))</f>
        <v>x</v>
      </c>
      <c r="G444" s="9">
        <f t="shared" si="19"/>
        <v>1</v>
      </c>
      <c r="H444" s="13">
        <f t="shared" si="20"/>
        <v>172.5</v>
      </c>
    </row>
    <row r="445" spans="1:8" x14ac:dyDescent="0.25">
      <c r="A445" s="2" t="str">
        <f>"BWS-40SW12-1S"</f>
        <v>BWS-40SW12-1S</v>
      </c>
      <c r="B445" s="2" t="str">
        <f>"BWS, Schienenstrahler, CoB LED, 40W, 15°, 2700K, Gehäuse schwarz/weiß"</f>
        <v>BWS, Schienenstrahler, CoB LED, 40W, 15°, 2700K, Gehäuse schwarz/weiß</v>
      </c>
      <c r="C445" s="16">
        <v>172.5</v>
      </c>
      <c r="D445" s="11">
        <v>41</v>
      </c>
      <c r="E445" s="7">
        <f t="shared" si="18"/>
        <v>1</v>
      </c>
      <c r="F445" s="22" t="str">
        <f>IF(ISERROR(VLOOKUP($A445,#REF!,3,0)),"x",VLOOKUP($A445,#REF!,3,FALSE))</f>
        <v>x</v>
      </c>
      <c r="G445" s="9">
        <f t="shared" si="19"/>
        <v>1</v>
      </c>
      <c r="H445" s="13">
        <f t="shared" si="20"/>
        <v>172.5</v>
      </c>
    </row>
    <row r="446" spans="1:8" x14ac:dyDescent="0.25">
      <c r="A446" s="2" t="str">
        <f>"BWS-40SW12-60"</f>
        <v>BWS-40SW12-60</v>
      </c>
      <c r="B446" s="2" t="str">
        <f>"BWS, Schienenstrahler, CoB LED, 40W, 60°, 2700K, Gehäuse schwarz"</f>
        <v>BWS, Schienenstrahler, CoB LED, 40W, 60°, 2700K, Gehäuse schwarz</v>
      </c>
      <c r="C446" s="16">
        <v>172.5</v>
      </c>
      <c r="D446" s="11">
        <v>41</v>
      </c>
      <c r="E446" s="7">
        <f t="shared" si="18"/>
        <v>1</v>
      </c>
      <c r="F446" s="22" t="str">
        <f>IF(ISERROR(VLOOKUP($A446,#REF!,3,0)),"x",VLOOKUP($A446,#REF!,3,FALSE))</f>
        <v>x</v>
      </c>
      <c r="G446" s="9">
        <f t="shared" si="19"/>
        <v>1</v>
      </c>
      <c r="H446" s="13">
        <f t="shared" si="20"/>
        <v>172.5</v>
      </c>
    </row>
    <row r="447" spans="1:8" x14ac:dyDescent="0.25">
      <c r="A447" s="2" t="str">
        <f>"BWS-40SW12F"</f>
        <v>BWS-40SW12F</v>
      </c>
      <c r="B447" s="2" t="str">
        <f>"BWS, Schienenstrahler, CoB LED, 40W, 40°, 2700K, Gehäuse schwarz"</f>
        <v>BWS, Schienenstrahler, CoB LED, 40W, 40°, 2700K, Gehäuse schwarz</v>
      </c>
      <c r="C447" s="16">
        <v>172.5</v>
      </c>
      <c r="D447" s="11">
        <v>41</v>
      </c>
      <c r="E447" s="7">
        <f t="shared" si="18"/>
        <v>1</v>
      </c>
      <c r="F447" s="22" t="str">
        <f>IF(ISERROR(VLOOKUP($A447,#REF!,3,0)),"x",VLOOKUP($A447,#REF!,3,FALSE))</f>
        <v>x</v>
      </c>
      <c r="G447" s="9">
        <f t="shared" si="19"/>
        <v>1</v>
      </c>
      <c r="H447" s="13">
        <f t="shared" si="20"/>
        <v>172.5</v>
      </c>
    </row>
    <row r="448" spans="1:8" x14ac:dyDescent="0.25">
      <c r="A448" s="2" t="str">
        <f>"BWS-40SW12S"</f>
        <v>BWS-40SW12S</v>
      </c>
      <c r="B448" s="2" t="str">
        <f>"BWS, Schienenstrahler, CoB LED, 40W, 15°, 2700K, Gehäuse schwarz"</f>
        <v>BWS, Schienenstrahler, CoB LED, 40W, 15°, 2700K, Gehäuse schwarz</v>
      </c>
      <c r="C448" s="16">
        <v>172.5</v>
      </c>
      <c r="D448" s="11">
        <v>41</v>
      </c>
      <c r="E448" s="7">
        <f t="shared" si="18"/>
        <v>1</v>
      </c>
      <c r="F448" s="22" t="str">
        <f>IF(ISERROR(VLOOKUP($A448,#REF!,3,0)),"x",VLOOKUP($A448,#REF!,3,FALSE))</f>
        <v>x</v>
      </c>
      <c r="G448" s="9">
        <f t="shared" si="19"/>
        <v>1</v>
      </c>
      <c r="H448" s="13">
        <f t="shared" si="20"/>
        <v>172.5</v>
      </c>
    </row>
    <row r="449" spans="1:8" x14ac:dyDescent="0.25">
      <c r="A449" s="2" t="str">
        <f>"BWS-40SW17-7"</f>
        <v>BWS-40SW17-7</v>
      </c>
      <c r="B449" s="2" t="str">
        <f>"BWS, Schienenstrahler, CoB LED, 40W, 24°, 2700K, Gehäuse alugrau"</f>
        <v>BWS, Schienenstrahler, CoB LED, 40W, 24°, 2700K, Gehäuse alugrau</v>
      </c>
      <c r="C449" s="16">
        <v>172.5</v>
      </c>
      <c r="D449" s="11">
        <v>41</v>
      </c>
      <c r="E449" s="7">
        <f t="shared" si="18"/>
        <v>1</v>
      </c>
      <c r="F449" s="22" t="str">
        <f>IF(ISERROR(VLOOKUP($A449,#REF!,3,0)),"x",VLOOKUP($A449,#REF!,3,FALSE))</f>
        <v>x</v>
      </c>
      <c r="G449" s="9">
        <f t="shared" si="19"/>
        <v>1</v>
      </c>
      <c r="H449" s="13">
        <f t="shared" si="20"/>
        <v>172.5</v>
      </c>
    </row>
    <row r="450" spans="1:8" x14ac:dyDescent="0.25">
      <c r="A450" s="2" t="str">
        <f>"BWS-40SW17-7-60"</f>
        <v>BWS-40SW17-7-60</v>
      </c>
      <c r="B450" s="2" t="str">
        <f>"BWS, Schienenstrahler, CoB LED, 40W, 60°, 2700K, Gehäuse alugrau"</f>
        <v>BWS, Schienenstrahler, CoB LED, 40W, 60°, 2700K, Gehäuse alugrau</v>
      </c>
      <c r="C450" s="16">
        <v>172.5</v>
      </c>
      <c r="D450" s="11">
        <v>41</v>
      </c>
      <c r="E450" s="7">
        <f t="shared" si="18"/>
        <v>1</v>
      </c>
      <c r="F450" s="22" t="str">
        <f>IF(ISERROR(VLOOKUP($A450,#REF!,3,0)),"x",VLOOKUP($A450,#REF!,3,FALSE))</f>
        <v>x</v>
      </c>
      <c r="G450" s="9">
        <f t="shared" si="19"/>
        <v>1</v>
      </c>
      <c r="H450" s="13">
        <f t="shared" si="20"/>
        <v>172.5</v>
      </c>
    </row>
    <row r="451" spans="1:8" x14ac:dyDescent="0.25">
      <c r="A451" s="2" t="str">
        <f>"BWS-40SW17-7F"</f>
        <v>BWS-40SW17-7F</v>
      </c>
      <c r="B451" s="2" t="str">
        <f>"BWS, Schienenstrahler, CoB LED, 40W, 40°, 2700K, Gehäuse alugrau"</f>
        <v>BWS, Schienenstrahler, CoB LED, 40W, 40°, 2700K, Gehäuse alugrau</v>
      </c>
      <c r="C451" s="16">
        <v>172.5</v>
      </c>
      <c r="D451" s="11">
        <v>41</v>
      </c>
      <c r="E451" s="7">
        <f t="shared" si="18"/>
        <v>1</v>
      </c>
      <c r="F451" s="22" t="str">
        <f>IF(ISERROR(VLOOKUP($A451,#REF!,3,0)),"x",VLOOKUP($A451,#REF!,3,FALSE))</f>
        <v>x</v>
      </c>
      <c r="G451" s="9">
        <f t="shared" si="19"/>
        <v>1</v>
      </c>
      <c r="H451" s="13">
        <f t="shared" si="20"/>
        <v>172.5</v>
      </c>
    </row>
    <row r="452" spans="1:8" x14ac:dyDescent="0.25">
      <c r="A452" s="2" t="str">
        <f>"BWS-40SW17-7S"</f>
        <v>BWS-40SW17-7S</v>
      </c>
      <c r="B452" s="2" t="str">
        <f>"BWS, Schienenstrahler, CoB LED, 40W, 15°, 2700K, Gehäuse alugrau"</f>
        <v>BWS, Schienenstrahler, CoB LED, 40W, 15°, 2700K, Gehäuse alugrau</v>
      </c>
      <c r="C452" s="16">
        <v>172.5</v>
      </c>
      <c r="D452" s="11">
        <v>41</v>
      </c>
      <c r="E452" s="7">
        <f t="shared" ref="E452:E515" si="21">G452</f>
        <v>1</v>
      </c>
      <c r="F452" s="22" t="str">
        <f>IF(ISERROR(VLOOKUP($A452,#REF!,3,0)),"x",VLOOKUP($A452,#REF!,3,FALSE))</f>
        <v>x</v>
      </c>
      <c r="G452" s="9">
        <f t="shared" ref="G452:G515" si="22">IF(C452&lt;F452,1,IF(C452&gt;F452,-1,0))</f>
        <v>1</v>
      </c>
      <c r="H452" s="13">
        <f t="shared" si="20"/>
        <v>172.5</v>
      </c>
    </row>
    <row r="453" spans="1:8" x14ac:dyDescent="0.25">
      <c r="A453" s="2" t="str">
        <f>"BWS-40WNW11-1"</f>
        <v>BWS-40WNW11-1</v>
      </c>
      <c r="B453" s="2" t="str">
        <f>"BWS, Schienenstrahler, CoB LED, 40W, 24°, 3500K, Gehäuse weiß"</f>
        <v>BWS, Schienenstrahler, CoB LED, 40W, 24°, 3500K, Gehäuse weiß</v>
      </c>
      <c r="C453" s="16">
        <v>172.5</v>
      </c>
      <c r="D453" s="11">
        <v>41</v>
      </c>
      <c r="E453" s="7">
        <f t="shared" si="21"/>
        <v>1</v>
      </c>
      <c r="F453" s="22" t="str">
        <f>IF(ISERROR(VLOOKUP($A453,#REF!,3,0)),"x",VLOOKUP($A453,#REF!,3,FALSE))</f>
        <v>x</v>
      </c>
      <c r="G453" s="9">
        <f t="shared" si="22"/>
        <v>1</v>
      </c>
      <c r="H453" s="13">
        <f t="shared" si="20"/>
        <v>172.5</v>
      </c>
    </row>
    <row r="454" spans="1:8" x14ac:dyDescent="0.25">
      <c r="A454" s="2" t="str">
        <f>"BWS-40WNW11-1-60"</f>
        <v>BWS-40WNW11-1-60</v>
      </c>
      <c r="B454" s="2" t="str">
        <f>"BWS, Schienenstrahler, CoB LED, 40W, 60°, 3500K, Gehäuse weiß"</f>
        <v>BWS, Schienenstrahler, CoB LED, 40W, 60°, 3500K, Gehäuse weiß</v>
      </c>
      <c r="C454" s="16">
        <v>172.5</v>
      </c>
      <c r="D454" s="11">
        <v>41</v>
      </c>
      <c r="E454" s="7">
        <f t="shared" si="21"/>
        <v>1</v>
      </c>
      <c r="F454" s="22" t="str">
        <f>IF(ISERROR(VLOOKUP($A454,#REF!,3,0)),"x",VLOOKUP($A454,#REF!,3,FALSE))</f>
        <v>x</v>
      </c>
      <c r="G454" s="9">
        <f t="shared" si="22"/>
        <v>1</v>
      </c>
      <c r="H454" s="13">
        <f t="shared" ref="H454:H517" si="23">IF(F454="x",C454,F454)</f>
        <v>172.5</v>
      </c>
    </row>
    <row r="455" spans="1:8" x14ac:dyDescent="0.25">
      <c r="A455" s="2" t="str">
        <f>"BWS-40WNW11-1F"</f>
        <v>BWS-40WNW11-1F</v>
      </c>
      <c r="B455" s="2" t="str">
        <f>"BWS, Schienenstrahler, CoB LED, 40W, 40°, 3500K, Gehäuse weiß"</f>
        <v>BWS, Schienenstrahler, CoB LED, 40W, 40°, 3500K, Gehäuse weiß</v>
      </c>
      <c r="C455" s="16">
        <v>172.5</v>
      </c>
      <c r="D455" s="11">
        <v>41</v>
      </c>
      <c r="E455" s="7">
        <f t="shared" si="21"/>
        <v>1</v>
      </c>
      <c r="F455" s="22" t="str">
        <f>IF(ISERROR(VLOOKUP($A455,#REF!,3,0)),"x",VLOOKUP($A455,#REF!,3,FALSE))</f>
        <v>x</v>
      </c>
      <c r="G455" s="9">
        <f t="shared" si="22"/>
        <v>1</v>
      </c>
      <c r="H455" s="13">
        <f t="shared" si="23"/>
        <v>172.5</v>
      </c>
    </row>
    <row r="456" spans="1:8" x14ac:dyDescent="0.25">
      <c r="A456" s="2" t="str">
        <f>"BWS-40WNW11-1S"</f>
        <v>BWS-40WNW11-1S</v>
      </c>
      <c r="B456" s="2" t="str">
        <f>"BWS, Schienenstrahler, CoB LED, 40W, 15°, 3500K, Gehäuse weiß"</f>
        <v>BWS, Schienenstrahler, CoB LED, 40W, 15°, 3500K, Gehäuse weiß</v>
      </c>
      <c r="C456" s="16">
        <v>172.5</v>
      </c>
      <c r="D456" s="11">
        <v>41</v>
      </c>
      <c r="E456" s="7">
        <f t="shared" si="21"/>
        <v>1</v>
      </c>
      <c r="F456" s="22" t="str">
        <f>IF(ISERROR(VLOOKUP($A456,#REF!,3,0)),"x",VLOOKUP($A456,#REF!,3,FALSE))</f>
        <v>x</v>
      </c>
      <c r="G456" s="9">
        <f t="shared" si="22"/>
        <v>1</v>
      </c>
      <c r="H456" s="13">
        <f t="shared" si="23"/>
        <v>172.5</v>
      </c>
    </row>
    <row r="457" spans="1:8" x14ac:dyDescent="0.25">
      <c r="A457" s="2" t="str">
        <f>"BWS-40WNW12"</f>
        <v>BWS-40WNW12</v>
      </c>
      <c r="B457" s="2" t="str">
        <f>"BWS, Schienenstrahler, CoB LED, 40W, 24°, 3500K, Gehäuse schwarz"</f>
        <v>BWS, Schienenstrahler, CoB LED, 40W, 24°, 3500K, Gehäuse schwarz</v>
      </c>
      <c r="C457" s="16">
        <v>172.5</v>
      </c>
      <c r="D457" s="11">
        <v>41</v>
      </c>
      <c r="E457" s="7">
        <f t="shared" si="21"/>
        <v>1</v>
      </c>
      <c r="F457" s="22" t="str">
        <f>IF(ISERROR(VLOOKUP($A457,#REF!,3,0)),"x",VLOOKUP($A457,#REF!,3,FALSE))</f>
        <v>x</v>
      </c>
      <c r="G457" s="9">
        <f t="shared" si="22"/>
        <v>1</v>
      </c>
      <c r="H457" s="13">
        <f t="shared" si="23"/>
        <v>172.5</v>
      </c>
    </row>
    <row r="458" spans="1:8" x14ac:dyDescent="0.25">
      <c r="A458" s="2" t="str">
        <f>"BWS-40WNW12-1"</f>
        <v>BWS-40WNW12-1</v>
      </c>
      <c r="B458" s="2" t="str">
        <f>"BWS, Schienenstrahler, CoB LED, 40W, 24°, 3500K, Gehäuse schwarz/weiß"</f>
        <v>BWS, Schienenstrahler, CoB LED, 40W, 24°, 3500K, Gehäuse schwarz/weiß</v>
      </c>
      <c r="C458" s="16">
        <v>172.5</v>
      </c>
      <c r="D458" s="11">
        <v>41</v>
      </c>
      <c r="E458" s="7">
        <f t="shared" si="21"/>
        <v>1</v>
      </c>
      <c r="F458" s="22" t="str">
        <f>IF(ISERROR(VLOOKUP($A458,#REF!,3,0)),"x",VLOOKUP($A458,#REF!,3,FALSE))</f>
        <v>x</v>
      </c>
      <c r="G458" s="9">
        <f t="shared" si="22"/>
        <v>1</v>
      </c>
      <c r="H458" s="13">
        <f t="shared" si="23"/>
        <v>172.5</v>
      </c>
    </row>
    <row r="459" spans="1:8" x14ac:dyDescent="0.25">
      <c r="A459" s="2" t="str">
        <f>"BWS-40WNW12-1-60"</f>
        <v>BWS-40WNW12-1-60</v>
      </c>
      <c r="B459" s="2" t="str">
        <f>"BWS, Schienenstrahler, CoB LED, 40W, 60°, 3500K, Gehäuse schwarz/weiß"</f>
        <v>BWS, Schienenstrahler, CoB LED, 40W, 60°, 3500K, Gehäuse schwarz/weiß</v>
      </c>
      <c r="C459" s="16">
        <v>172.5</v>
      </c>
      <c r="D459" s="11">
        <v>41</v>
      </c>
      <c r="E459" s="7">
        <f t="shared" si="21"/>
        <v>1</v>
      </c>
      <c r="F459" s="22" t="str">
        <f>IF(ISERROR(VLOOKUP($A459,#REF!,3,0)),"x",VLOOKUP($A459,#REF!,3,FALSE))</f>
        <v>x</v>
      </c>
      <c r="G459" s="9">
        <f t="shared" si="22"/>
        <v>1</v>
      </c>
      <c r="H459" s="13">
        <f t="shared" si="23"/>
        <v>172.5</v>
      </c>
    </row>
    <row r="460" spans="1:8" x14ac:dyDescent="0.25">
      <c r="A460" s="2" t="str">
        <f>"BWS-40WNW12-1F"</f>
        <v>BWS-40WNW12-1F</v>
      </c>
      <c r="B460" s="2" t="str">
        <f>"BWS, Schienenstrahler, CoB LED, 40W, 40°, 3500K, Gehäuse schwarz/weiß"</f>
        <v>BWS, Schienenstrahler, CoB LED, 40W, 40°, 3500K, Gehäuse schwarz/weiß</v>
      </c>
      <c r="C460" s="16">
        <v>172.5</v>
      </c>
      <c r="D460" s="11">
        <v>41</v>
      </c>
      <c r="E460" s="7">
        <f t="shared" si="21"/>
        <v>1</v>
      </c>
      <c r="F460" s="22" t="str">
        <f>IF(ISERROR(VLOOKUP($A460,#REF!,3,0)),"x",VLOOKUP($A460,#REF!,3,FALSE))</f>
        <v>x</v>
      </c>
      <c r="G460" s="9">
        <f t="shared" si="22"/>
        <v>1</v>
      </c>
      <c r="H460" s="13">
        <f t="shared" si="23"/>
        <v>172.5</v>
      </c>
    </row>
    <row r="461" spans="1:8" x14ac:dyDescent="0.25">
      <c r="A461" s="2" t="str">
        <f>"BWS-40WNW12-1S"</f>
        <v>BWS-40WNW12-1S</v>
      </c>
      <c r="B461" s="2" t="str">
        <f>"BWS, Schienenstrahler, CoB LED, 40W, 15°, 3500K, Gehäuse schwarz/weiß"</f>
        <v>BWS, Schienenstrahler, CoB LED, 40W, 15°, 3500K, Gehäuse schwarz/weiß</v>
      </c>
      <c r="C461" s="16">
        <v>172.5</v>
      </c>
      <c r="D461" s="11">
        <v>41</v>
      </c>
      <c r="E461" s="7">
        <f t="shared" si="21"/>
        <v>1</v>
      </c>
      <c r="F461" s="22" t="str">
        <f>IF(ISERROR(VLOOKUP($A461,#REF!,3,0)),"x",VLOOKUP($A461,#REF!,3,FALSE))</f>
        <v>x</v>
      </c>
      <c r="G461" s="9">
        <f t="shared" si="22"/>
        <v>1</v>
      </c>
      <c r="H461" s="13">
        <f t="shared" si="23"/>
        <v>172.5</v>
      </c>
    </row>
    <row r="462" spans="1:8" x14ac:dyDescent="0.25">
      <c r="A462" s="2" t="str">
        <f>"BWS-40WNW12-60"</f>
        <v>BWS-40WNW12-60</v>
      </c>
      <c r="B462" s="2" t="str">
        <f>"BWS, Schienenstrahler, CoB LED, 40W, 60°, 3500K, Gehäuse schwarz"</f>
        <v>BWS, Schienenstrahler, CoB LED, 40W, 60°, 3500K, Gehäuse schwarz</v>
      </c>
      <c r="C462" s="16">
        <v>172.5</v>
      </c>
      <c r="D462" s="11">
        <v>41</v>
      </c>
      <c r="E462" s="7">
        <f t="shared" si="21"/>
        <v>1</v>
      </c>
      <c r="F462" s="22" t="str">
        <f>IF(ISERROR(VLOOKUP($A462,#REF!,3,0)),"x",VLOOKUP($A462,#REF!,3,FALSE))</f>
        <v>x</v>
      </c>
      <c r="G462" s="9">
        <f t="shared" si="22"/>
        <v>1</v>
      </c>
      <c r="H462" s="13">
        <f t="shared" si="23"/>
        <v>172.5</v>
      </c>
    </row>
    <row r="463" spans="1:8" x14ac:dyDescent="0.25">
      <c r="A463" s="2" t="str">
        <f>"BWS-40WNW12F"</f>
        <v>BWS-40WNW12F</v>
      </c>
      <c r="B463" s="2" t="str">
        <f>"BWS, Schienenstrahler, CoB LED, 40W, 40°, 3500K, Gehäuse schwarz"</f>
        <v>BWS, Schienenstrahler, CoB LED, 40W, 40°, 3500K, Gehäuse schwarz</v>
      </c>
      <c r="C463" s="16">
        <v>172.5</v>
      </c>
      <c r="D463" s="11">
        <v>41</v>
      </c>
      <c r="E463" s="7">
        <f t="shared" si="21"/>
        <v>1</v>
      </c>
      <c r="F463" s="22" t="str">
        <f>IF(ISERROR(VLOOKUP($A463,#REF!,3,0)),"x",VLOOKUP($A463,#REF!,3,FALSE))</f>
        <v>x</v>
      </c>
      <c r="G463" s="9">
        <f t="shared" si="22"/>
        <v>1</v>
      </c>
      <c r="H463" s="13">
        <f t="shared" si="23"/>
        <v>172.5</v>
      </c>
    </row>
    <row r="464" spans="1:8" x14ac:dyDescent="0.25">
      <c r="A464" s="2" t="str">
        <f>"BWS-40WNW12S"</f>
        <v>BWS-40WNW12S</v>
      </c>
      <c r="B464" s="2" t="str">
        <f>"BWS, Schienenstrahler, CoB LED, 40W, 15°, 3500K, Gehäuse schwarz"</f>
        <v>BWS, Schienenstrahler, CoB LED, 40W, 15°, 3500K, Gehäuse schwarz</v>
      </c>
      <c r="C464" s="16">
        <v>172.5</v>
      </c>
      <c r="D464" s="11">
        <v>41</v>
      </c>
      <c r="E464" s="7">
        <f t="shared" si="21"/>
        <v>1</v>
      </c>
      <c r="F464" s="22" t="str">
        <f>IF(ISERROR(VLOOKUP($A464,#REF!,3,0)),"x",VLOOKUP($A464,#REF!,3,FALSE))</f>
        <v>x</v>
      </c>
      <c r="G464" s="9">
        <f t="shared" si="22"/>
        <v>1</v>
      </c>
      <c r="H464" s="13">
        <f t="shared" si="23"/>
        <v>172.5</v>
      </c>
    </row>
    <row r="465" spans="1:8" x14ac:dyDescent="0.25">
      <c r="A465" s="2" t="str">
        <f>"BWS-40WNW17-7"</f>
        <v>BWS-40WNW17-7</v>
      </c>
      <c r="B465" s="2" t="str">
        <f>"BWS, Schienenstrahler, CoB LED, 40W, 24°, 3500K, Gehäuse alugrau"</f>
        <v>BWS, Schienenstrahler, CoB LED, 40W, 24°, 3500K, Gehäuse alugrau</v>
      </c>
      <c r="C465" s="16">
        <v>172.5</v>
      </c>
      <c r="D465" s="11">
        <v>41</v>
      </c>
      <c r="E465" s="7">
        <f t="shared" si="21"/>
        <v>1</v>
      </c>
      <c r="F465" s="22" t="str">
        <f>IF(ISERROR(VLOOKUP($A465,#REF!,3,0)),"x",VLOOKUP($A465,#REF!,3,FALSE))</f>
        <v>x</v>
      </c>
      <c r="G465" s="9">
        <f t="shared" si="22"/>
        <v>1</v>
      </c>
      <c r="H465" s="13">
        <f t="shared" si="23"/>
        <v>172.5</v>
      </c>
    </row>
    <row r="466" spans="1:8" x14ac:dyDescent="0.25">
      <c r="A466" s="2" t="str">
        <f>"BWS-40WNW17-7-60"</f>
        <v>BWS-40WNW17-7-60</v>
      </c>
      <c r="B466" s="2" t="str">
        <f>"BWS, Schienenstrahler, CoB LED, 40W, 60°, 3500K, Gehäuse alugrau"</f>
        <v>BWS, Schienenstrahler, CoB LED, 40W, 60°, 3500K, Gehäuse alugrau</v>
      </c>
      <c r="C466" s="16">
        <v>172.5</v>
      </c>
      <c r="D466" s="11">
        <v>41</v>
      </c>
      <c r="E466" s="7">
        <f t="shared" si="21"/>
        <v>1</v>
      </c>
      <c r="F466" s="22" t="str">
        <f>IF(ISERROR(VLOOKUP($A466,#REF!,3,0)),"x",VLOOKUP($A466,#REF!,3,FALSE))</f>
        <v>x</v>
      </c>
      <c r="G466" s="9">
        <f t="shared" si="22"/>
        <v>1</v>
      </c>
      <c r="H466" s="13">
        <f t="shared" si="23"/>
        <v>172.5</v>
      </c>
    </row>
    <row r="467" spans="1:8" x14ac:dyDescent="0.25">
      <c r="A467" s="2" t="str">
        <f>"BWS-40WNW17-7F"</f>
        <v>BWS-40WNW17-7F</v>
      </c>
      <c r="B467" s="2" t="str">
        <f>"BWS, Schienenstrahler, CoB LED, 40W, 40°, 3500K, Gehäuse alugrau"</f>
        <v>BWS, Schienenstrahler, CoB LED, 40W, 40°, 3500K, Gehäuse alugrau</v>
      </c>
      <c r="C467" s="16">
        <v>172.5</v>
      </c>
      <c r="D467" s="11">
        <v>41</v>
      </c>
      <c r="E467" s="7">
        <f t="shared" si="21"/>
        <v>1</v>
      </c>
      <c r="F467" s="22" t="str">
        <f>IF(ISERROR(VLOOKUP($A467,#REF!,3,0)),"x",VLOOKUP($A467,#REF!,3,FALSE))</f>
        <v>x</v>
      </c>
      <c r="G467" s="9">
        <f t="shared" si="22"/>
        <v>1</v>
      </c>
      <c r="H467" s="13">
        <f t="shared" si="23"/>
        <v>172.5</v>
      </c>
    </row>
    <row r="468" spans="1:8" x14ac:dyDescent="0.25">
      <c r="A468" s="2" t="str">
        <f>"BWS-40WNW17-7S"</f>
        <v>BWS-40WNW17-7S</v>
      </c>
      <c r="B468" s="2" t="str">
        <f>"BWS, Schienenstrahler, CoB LED, 40W, 15°, 3500K, Gehäuse alugrau"</f>
        <v>BWS, Schienenstrahler, CoB LED, 40W, 15°, 3500K, Gehäuse alugrau</v>
      </c>
      <c r="C468" s="16">
        <v>172.5</v>
      </c>
      <c r="D468" s="11">
        <v>41</v>
      </c>
      <c r="E468" s="7">
        <f t="shared" si="21"/>
        <v>1</v>
      </c>
      <c r="F468" s="22" t="str">
        <f>IF(ISERROR(VLOOKUP($A468,#REF!,3,0)),"x",VLOOKUP($A468,#REF!,3,FALSE))</f>
        <v>x</v>
      </c>
      <c r="G468" s="9">
        <f t="shared" si="22"/>
        <v>1</v>
      </c>
      <c r="H468" s="13">
        <f t="shared" si="23"/>
        <v>172.5</v>
      </c>
    </row>
    <row r="469" spans="1:8" x14ac:dyDescent="0.25">
      <c r="A469" s="2" t="str">
        <f>"BWS-40WW11-1"</f>
        <v>BWS-40WW11-1</v>
      </c>
      <c r="B469" s="2" t="str">
        <f>"BWS, Schienenstrahler, CoB LED, 40W, 24°, 3000K, Gehäuse weiß"</f>
        <v>BWS, Schienenstrahler, CoB LED, 40W, 24°, 3000K, Gehäuse weiß</v>
      </c>
      <c r="C469" s="16">
        <v>172.5</v>
      </c>
      <c r="D469" s="11">
        <v>41</v>
      </c>
      <c r="E469" s="7">
        <f t="shared" si="21"/>
        <v>1</v>
      </c>
      <c r="F469" s="22" t="str">
        <f>IF(ISERROR(VLOOKUP($A469,#REF!,3,0)),"x",VLOOKUP($A469,#REF!,3,FALSE))</f>
        <v>x</v>
      </c>
      <c r="G469" s="9">
        <f t="shared" si="22"/>
        <v>1</v>
      </c>
      <c r="H469" s="13">
        <f t="shared" si="23"/>
        <v>172.5</v>
      </c>
    </row>
    <row r="470" spans="1:8" x14ac:dyDescent="0.25">
      <c r="A470" s="2" t="str">
        <f>"BWS-40WW11-1-60"</f>
        <v>BWS-40WW11-1-60</v>
      </c>
      <c r="B470" s="2" t="str">
        <f>"BWS, Schienenstrahler, CoB LED, 40W, 60°, 3000K, Gehäuse weiß"</f>
        <v>BWS, Schienenstrahler, CoB LED, 40W, 60°, 3000K, Gehäuse weiß</v>
      </c>
      <c r="C470" s="16">
        <v>172.5</v>
      </c>
      <c r="D470" s="11">
        <v>41</v>
      </c>
      <c r="E470" s="7">
        <f t="shared" si="21"/>
        <v>1</v>
      </c>
      <c r="F470" s="22" t="str">
        <f>IF(ISERROR(VLOOKUP($A470,#REF!,3,0)),"x",VLOOKUP($A470,#REF!,3,FALSE))</f>
        <v>x</v>
      </c>
      <c r="G470" s="9">
        <f t="shared" si="22"/>
        <v>1</v>
      </c>
      <c r="H470" s="13">
        <f t="shared" si="23"/>
        <v>172.5</v>
      </c>
    </row>
    <row r="471" spans="1:8" x14ac:dyDescent="0.25">
      <c r="A471" s="2" t="str">
        <f>"BWS-40WW11-1F"</f>
        <v>BWS-40WW11-1F</v>
      </c>
      <c r="B471" s="2" t="str">
        <f>"BWS, Schienenstrahler, CoB LED, 40W, 40°, 3000K, Gehäuse weiß"</f>
        <v>BWS, Schienenstrahler, CoB LED, 40W, 40°, 3000K, Gehäuse weiß</v>
      </c>
      <c r="C471" s="16">
        <v>172.5</v>
      </c>
      <c r="D471" s="11">
        <v>41</v>
      </c>
      <c r="E471" s="7">
        <f t="shared" si="21"/>
        <v>1</v>
      </c>
      <c r="F471" s="22" t="str">
        <f>IF(ISERROR(VLOOKUP($A471,#REF!,3,0)),"x",VLOOKUP($A471,#REF!,3,FALSE))</f>
        <v>x</v>
      </c>
      <c r="G471" s="9">
        <f t="shared" si="22"/>
        <v>1</v>
      </c>
      <c r="H471" s="13">
        <f t="shared" si="23"/>
        <v>172.5</v>
      </c>
    </row>
    <row r="472" spans="1:8" x14ac:dyDescent="0.25">
      <c r="A472" s="2" t="str">
        <f>"BWS-40WW11-1S"</f>
        <v>BWS-40WW11-1S</v>
      </c>
      <c r="B472" s="2" t="str">
        <f>"BWS, Schienenstrahler, CoB LED, 40W, 15°, 3000K, Gehäuse weiß"</f>
        <v>BWS, Schienenstrahler, CoB LED, 40W, 15°, 3000K, Gehäuse weiß</v>
      </c>
      <c r="C472" s="16">
        <v>172.5</v>
      </c>
      <c r="D472" s="11">
        <v>41</v>
      </c>
      <c r="E472" s="7">
        <f t="shared" si="21"/>
        <v>1</v>
      </c>
      <c r="F472" s="22" t="str">
        <f>IF(ISERROR(VLOOKUP($A472,#REF!,3,0)),"x",VLOOKUP($A472,#REF!,3,FALSE))</f>
        <v>x</v>
      </c>
      <c r="G472" s="9">
        <f t="shared" si="22"/>
        <v>1</v>
      </c>
      <c r="H472" s="13">
        <f t="shared" si="23"/>
        <v>172.5</v>
      </c>
    </row>
    <row r="473" spans="1:8" x14ac:dyDescent="0.25">
      <c r="A473" s="2" t="str">
        <f>"BWS-40WW12"</f>
        <v>BWS-40WW12</v>
      </c>
      <c r="B473" s="2" t="str">
        <f>"BWS, Schienenstrahler, CoB LED, 40W, 24°, 3000K, Gehäuse schwarz"</f>
        <v>BWS, Schienenstrahler, CoB LED, 40W, 24°, 3000K, Gehäuse schwarz</v>
      </c>
      <c r="C473" s="16">
        <v>172.5</v>
      </c>
      <c r="D473" s="11">
        <v>41</v>
      </c>
      <c r="E473" s="7">
        <f t="shared" si="21"/>
        <v>1</v>
      </c>
      <c r="F473" s="22" t="str">
        <f>IF(ISERROR(VLOOKUP($A473,#REF!,3,0)),"x",VLOOKUP($A473,#REF!,3,FALSE))</f>
        <v>x</v>
      </c>
      <c r="G473" s="9">
        <f t="shared" si="22"/>
        <v>1</v>
      </c>
      <c r="H473" s="13">
        <f t="shared" si="23"/>
        <v>172.5</v>
      </c>
    </row>
    <row r="474" spans="1:8" x14ac:dyDescent="0.25">
      <c r="A474" s="2" t="str">
        <f>"BWS-40WW12-1"</f>
        <v>BWS-40WW12-1</v>
      </c>
      <c r="B474" s="2" t="str">
        <f>"BWS, Schienenstrahler, CoB LED, 40W, 24°, 3000K, Gehäuse schwarz/weiß"</f>
        <v>BWS, Schienenstrahler, CoB LED, 40W, 24°, 3000K, Gehäuse schwarz/weiß</v>
      </c>
      <c r="C474" s="16">
        <v>172.5</v>
      </c>
      <c r="D474" s="11">
        <v>41</v>
      </c>
      <c r="E474" s="7">
        <f t="shared" si="21"/>
        <v>1</v>
      </c>
      <c r="F474" s="22" t="str">
        <f>IF(ISERROR(VLOOKUP($A474,#REF!,3,0)),"x",VLOOKUP($A474,#REF!,3,FALSE))</f>
        <v>x</v>
      </c>
      <c r="G474" s="9">
        <f t="shared" si="22"/>
        <v>1</v>
      </c>
      <c r="H474" s="13">
        <f t="shared" si="23"/>
        <v>172.5</v>
      </c>
    </row>
    <row r="475" spans="1:8" x14ac:dyDescent="0.25">
      <c r="A475" s="2" t="str">
        <f>"BWS-40WW12-1-60"</f>
        <v>BWS-40WW12-1-60</v>
      </c>
      <c r="B475" s="2" t="str">
        <f>"BWS, Schienenstrahler, CoB LED,40W, 60°, 3000K, Gehäuse schwarz/weiß"</f>
        <v>BWS, Schienenstrahler, CoB LED,40W, 60°, 3000K, Gehäuse schwarz/weiß</v>
      </c>
      <c r="C475" s="16">
        <v>172.5</v>
      </c>
      <c r="D475" s="11">
        <v>41</v>
      </c>
      <c r="E475" s="7">
        <f t="shared" si="21"/>
        <v>1</v>
      </c>
      <c r="F475" s="22" t="str">
        <f>IF(ISERROR(VLOOKUP($A475,#REF!,3,0)),"x",VLOOKUP($A475,#REF!,3,FALSE))</f>
        <v>x</v>
      </c>
      <c r="G475" s="9">
        <f t="shared" si="22"/>
        <v>1</v>
      </c>
      <c r="H475" s="13">
        <f t="shared" si="23"/>
        <v>172.5</v>
      </c>
    </row>
    <row r="476" spans="1:8" x14ac:dyDescent="0.25">
      <c r="A476" s="2" t="str">
        <f>"BWS-40WW12-1F"</f>
        <v>BWS-40WW12-1F</v>
      </c>
      <c r="B476" s="2" t="str">
        <f>"BWS, Schienenstrahler, CoB LED, 40W, 40°, 3000K, Gehäuse schwarz/weiß"</f>
        <v>BWS, Schienenstrahler, CoB LED, 40W, 40°, 3000K, Gehäuse schwarz/weiß</v>
      </c>
      <c r="C476" s="16">
        <v>172.5</v>
      </c>
      <c r="D476" s="11">
        <v>41</v>
      </c>
      <c r="E476" s="7">
        <f t="shared" si="21"/>
        <v>1</v>
      </c>
      <c r="F476" s="22" t="str">
        <f>IF(ISERROR(VLOOKUP($A476,#REF!,3,0)),"x",VLOOKUP($A476,#REF!,3,FALSE))</f>
        <v>x</v>
      </c>
      <c r="G476" s="9">
        <f t="shared" si="22"/>
        <v>1</v>
      </c>
      <c r="H476" s="13">
        <f t="shared" si="23"/>
        <v>172.5</v>
      </c>
    </row>
    <row r="477" spans="1:8" x14ac:dyDescent="0.25">
      <c r="A477" s="2" t="str">
        <f>"BWS-40WW12-1S"</f>
        <v>BWS-40WW12-1S</v>
      </c>
      <c r="B477" s="2" t="str">
        <f>"BWS, Schienenstrahler, CoB LED,40W, 15°, 3000K, Gehäuse schwarz/weiß"</f>
        <v>BWS, Schienenstrahler, CoB LED,40W, 15°, 3000K, Gehäuse schwarz/weiß</v>
      </c>
      <c r="C477" s="16">
        <v>172.5</v>
      </c>
      <c r="D477" s="11">
        <v>41</v>
      </c>
      <c r="E477" s="7">
        <f t="shared" si="21"/>
        <v>1</v>
      </c>
      <c r="F477" s="22" t="str">
        <f>IF(ISERROR(VLOOKUP($A477,#REF!,3,0)),"x",VLOOKUP($A477,#REF!,3,FALSE))</f>
        <v>x</v>
      </c>
      <c r="G477" s="9">
        <f t="shared" si="22"/>
        <v>1</v>
      </c>
      <c r="H477" s="13">
        <f t="shared" si="23"/>
        <v>172.5</v>
      </c>
    </row>
    <row r="478" spans="1:8" x14ac:dyDescent="0.25">
      <c r="A478" s="2" t="str">
        <f>"BWS-40WW12-60"</f>
        <v>BWS-40WW12-60</v>
      </c>
      <c r="B478" s="2" t="str">
        <f>"BWS, Schienenstrahler, CoB LED, 40W, 60°, 3000K, Gehäuse schwarz"</f>
        <v>BWS, Schienenstrahler, CoB LED, 40W, 60°, 3000K, Gehäuse schwarz</v>
      </c>
      <c r="C478" s="16">
        <v>172.5</v>
      </c>
      <c r="D478" s="11">
        <v>41</v>
      </c>
      <c r="E478" s="7">
        <f t="shared" si="21"/>
        <v>1</v>
      </c>
      <c r="F478" s="22" t="str">
        <f>IF(ISERROR(VLOOKUP($A478,#REF!,3,0)),"x",VLOOKUP($A478,#REF!,3,FALSE))</f>
        <v>x</v>
      </c>
      <c r="G478" s="9">
        <f t="shared" si="22"/>
        <v>1</v>
      </c>
      <c r="H478" s="13">
        <f t="shared" si="23"/>
        <v>172.5</v>
      </c>
    </row>
    <row r="479" spans="1:8" x14ac:dyDescent="0.25">
      <c r="A479" s="2" t="str">
        <f>"BWS-40WW12F"</f>
        <v>BWS-40WW12F</v>
      </c>
      <c r="B479" s="2" t="str">
        <f>"BWS, Schienenstrahler, CoB LED, 40W, 40°, 3000K, Gehäuse schwarz"</f>
        <v>BWS, Schienenstrahler, CoB LED, 40W, 40°, 3000K, Gehäuse schwarz</v>
      </c>
      <c r="C479" s="16">
        <v>172.5</v>
      </c>
      <c r="D479" s="11">
        <v>41</v>
      </c>
      <c r="E479" s="7">
        <f t="shared" si="21"/>
        <v>1</v>
      </c>
      <c r="F479" s="22" t="str">
        <f>IF(ISERROR(VLOOKUP($A479,#REF!,3,0)),"x",VLOOKUP($A479,#REF!,3,FALSE))</f>
        <v>x</v>
      </c>
      <c r="G479" s="9">
        <f t="shared" si="22"/>
        <v>1</v>
      </c>
      <c r="H479" s="13">
        <f t="shared" si="23"/>
        <v>172.5</v>
      </c>
    </row>
    <row r="480" spans="1:8" x14ac:dyDescent="0.25">
      <c r="A480" s="2" t="str">
        <f>"BWS-40WW12S"</f>
        <v>BWS-40WW12S</v>
      </c>
      <c r="B480" s="2" t="str">
        <f>"BWS, Schienenstrahler, CoB LED, 40W, 15°, 3000K, Gehäuse schwarz"</f>
        <v>BWS, Schienenstrahler, CoB LED, 40W, 15°, 3000K, Gehäuse schwarz</v>
      </c>
      <c r="C480" s="16">
        <v>172.5</v>
      </c>
      <c r="D480" s="11">
        <v>41</v>
      </c>
      <c r="E480" s="7">
        <f t="shared" si="21"/>
        <v>1</v>
      </c>
      <c r="F480" s="22" t="str">
        <f>IF(ISERROR(VLOOKUP($A480,#REF!,3,0)),"x",VLOOKUP($A480,#REF!,3,FALSE))</f>
        <v>x</v>
      </c>
      <c r="G480" s="9">
        <f t="shared" si="22"/>
        <v>1</v>
      </c>
      <c r="H480" s="13">
        <f t="shared" si="23"/>
        <v>172.5</v>
      </c>
    </row>
    <row r="481" spans="1:8" x14ac:dyDescent="0.25">
      <c r="A481" s="2" t="str">
        <f>"BWS-40WW17-7"</f>
        <v>BWS-40WW17-7</v>
      </c>
      <c r="B481" s="2" t="str">
        <f>"BWS, Schienenstrahler, CoB LED, 40W, 24°, 3000K, Gehäuse alugrau"</f>
        <v>BWS, Schienenstrahler, CoB LED, 40W, 24°, 3000K, Gehäuse alugrau</v>
      </c>
      <c r="C481" s="16">
        <v>172.5</v>
      </c>
      <c r="D481" s="11">
        <v>41</v>
      </c>
      <c r="E481" s="7">
        <f t="shared" si="21"/>
        <v>1</v>
      </c>
      <c r="F481" s="22" t="str">
        <f>IF(ISERROR(VLOOKUP($A481,#REF!,3,0)),"x",VLOOKUP($A481,#REF!,3,FALSE))</f>
        <v>x</v>
      </c>
      <c r="G481" s="9">
        <f t="shared" si="22"/>
        <v>1</v>
      </c>
      <c r="H481" s="13">
        <f t="shared" si="23"/>
        <v>172.5</v>
      </c>
    </row>
    <row r="482" spans="1:8" x14ac:dyDescent="0.25">
      <c r="A482" s="2" t="str">
        <f>"BWS-40WW17-7-60"</f>
        <v>BWS-40WW17-7-60</v>
      </c>
      <c r="B482" s="2" t="str">
        <f>"BWS, Schienenstrahler, CoB LED, 40W, 60°, 3000K, Gehäuse alugrau"</f>
        <v>BWS, Schienenstrahler, CoB LED, 40W, 60°, 3000K, Gehäuse alugrau</v>
      </c>
      <c r="C482" s="16">
        <v>172.5</v>
      </c>
      <c r="D482" s="11">
        <v>41</v>
      </c>
      <c r="E482" s="7">
        <f t="shared" si="21"/>
        <v>1</v>
      </c>
      <c r="F482" s="22" t="str">
        <f>IF(ISERROR(VLOOKUP($A482,#REF!,3,0)),"x",VLOOKUP($A482,#REF!,3,FALSE))</f>
        <v>x</v>
      </c>
      <c r="G482" s="9">
        <f t="shared" si="22"/>
        <v>1</v>
      </c>
      <c r="H482" s="13">
        <f t="shared" si="23"/>
        <v>172.5</v>
      </c>
    </row>
    <row r="483" spans="1:8" x14ac:dyDescent="0.25">
      <c r="A483" s="2" t="str">
        <f>"BWS-40WW17-7F"</f>
        <v>BWS-40WW17-7F</v>
      </c>
      <c r="B483" s="2" t="str">
        <f>"BWS, Schienenstrahler, CoB LED, 40W, 40°, 3000K, Gehäuse alugrau"</f>
        <v>BWS, Schienenstrahler, CoB LED, 40W, 40°, 3000K, Gehäuse alugrau</v>
      </c>
      <c r="C483" s="16">
        <v>172.5</v>
      </c>
      <c r="D483" s="11">
        <v>41</v>
      </c>
      <c r="E483" s="7">
        <f t="shared" si="21"/>
        <v>1</v>
      </c>
      <c r="F483" s="22" t="str">
        <f>IF(ISERROR(VLOOKUP($A483,#REF!,3,0)),"x",VLOOKUP($A483,#REF!,3,FALSE))</f>
        <v>x</v>
      </c>
      <c r="G483" s="9">
        <f t="shared" si="22"/>
        <v>1</v>
      </c>
      <c r="H483" s="13">
        <f t="shared" si="23"/>
        <v>172.5</v>
      </c>
    </row>
    <row r="484" spans="1:8" x14ac:dyDescent="0.25">
      <c r="A484" s="2" t="str">
        <f>"BWS-40WW17-7S"</f>
        <v>BWS-40WW17-7S</v>
      </c>
      <c r="B484" s="2" t="str">
        <f>"BWS, Schienenstrahler, CoB LED, 40W, 15°, 3000K, Gehäuse alugrau"</f>
        <v>BWS, Schienenstrahler, CoB LED, 40W, 15°, 3000K, Gehäuse alugrau</v>
      </c>
      <c r="C484" s="16">
        <v>172.5</v>
      </c>
      <c r="D484" s="11">
        <v>41</v>
      </c>
      <c r="E484" s="7">
        <f t="shared" si="21"/>
        <v>1</v>
      </c>
      <c r="F484" s="22" t="str">
        <f>IF(ISERROR(VLOOKUP($A484,#REF!,3,0)),"x",VLOOKUP($A484,#REF!,3,FALSE))</f>
        <v>x</v>
      </c>
      <c r="G484" s="9">
        <f t="shared" si="22"/>
        <v>1</v>
      </c>
      <c r="H484" s="13">
        <f t="shared" si="23"/>
        <v>172.5</v>
      </c>
    </row>
    <row r="485" spans="1:8" x14ac:dyDescent="0.25">
      <c r="A485" s="2" t="str">
        <f>"C-B1348-2"</f>
        <v>C-B1348-2</v>
      </c>
      <c r="B485" s="2" t="str">
        <f>"5705NE Blindmodul für Wand-/Deckenleuchte SuperMaxi, L=1348 mm, Alu schwarz"</f>
        <v>5705NE Blindmodul für Wand-/Deckenleuchte SuperMaxi, L=1348 mm, Alu schwarz</v>
      </c>
      <c r="C485" s="16">
        <v>260</v>
      </c>
      <c r="D485" s="11">
        <v>286</v>
      </c>
      <c r="E485" s="7">
        <f t="shared" si="21"/>
        <v>1</v>
      </c>
      <c r="F485" s="22" t="str">
        <f>IF(ISERROR(VLOOKUP($A485,#REF!,3,0)),"x",VLOOKUP($A485,#REF!,3,FALSE))</f>
        <v>x</v>
      </c>
      <c r="G485" s="9">
        <f t="shared" si="22"/>
        <v>1</v>
      </c>
      <c r="H485" s="13">
        <f t="shared" si="23"/>
        <v>260</v>
      </c>
    </row>
    <row r="486" spans="1:8" x14ac:dyDescent="0.25">
      <c r="A486" s="2" t="str">
        <f>"C-B1348-7"</f>
        <v>C-B1348-7</v>
      </c>
      <c r="B486" s="2" t="str">
        <f>"5705AG Blindmodul für Wand-/Deckenleuchte SuperMaxi, L=1348 mm, aluminiumgrau"</f>
        <v>5705AG Blindmodul für Wand-/Deckenleuchte SuperMaxi, L=1348 mm, aluminiumgrau</v>
      </c>
      <c r="C486" s="16">
        <v>260</v>
      </c>
      <c r="D486" s="11">
        <v>286</v>
      </c>
      <c r="E486" s="7">
        <f t="shared" si="21"/>
        <v>1</v>
      </c>
      <c r="F486" s="22" t="str">
        <f>IF(ISERROR(VLOOKUP($A486,#REF!,3,0)),"x",VLOOKUP($A486,#REF!,3,FALSE))</f>
        <v>x</v>
      </c>
      <c r="G486" s="9">
        <f t="shared" si="22"/>
        <v>1</v>
      </c>
      <c r="H486" s="13">
        <f t="shared" si="23"/>
        <v>260</v>
      </c>
    </row>
    <row r="487" spans="1:8" x14ac:dyDescent="0.25">
      <c r="A487" s="2" t="str">
        <f>"C-B1578-2"</f>
        <v>C-B1578-2</v>
      </c>
      <c r="B487" s="2" t="str">
        <f>"5708NE Blindmodul für Wand-/Deckenleuchte SuperMaxi, L=1578 mm, Alu schwarz"</f>
        <v>5708NE Blindmodul für Wand-/Deckenleuchte SuperMaxi, L=1578 mm, Alu schwarz</v>
      </c>
      <c r="C487" s="16">
        <v>302.5</v>
      </c>
      <c r="D487" s="11">
        <v>286</v>
      </c>
      <c r="E487" s="7">
        <f t="shared" si="21"/>
        <v>1</v>
      </c>
      <c r="F487" s="22" t="str">
        <f>IF(ISERROR(VLOOKUP($A487,#REF!,3,0)),"x",VLOOKUP($A487,#REF!,3,FALSE))</f>
        <v>x</v>
      </c>
      <c r="G487" s="9">
        <f t="shared" si="22"/>
        <v>1</v>
      </c>
      <c r="H487" s="13">
        <f t="shared" si="23"/>
        <v>302.5</v>
      </c>
    </row>
    <row r="488" spans="1:8" x14ac:dyDescent="0.25">
      <c r="A488" s="2" t="str">
        <f>"C-B1578-7"</f>
        <v>C-B1578-7</v>
      </c>
      <c r="B488" s="2" t="str">
        <f>"5708AG Blindmodul für Wand-/Deckenleuchte SuperMaxi, L=1578 mm, aluminiumgrau"</f>
        <v>5708AG Blindmodul für Wand-/Deckenleuchte SuperMaxi, L=1578 mm, aluminiumgrau</v>
      </c>
      <c r="C488" s="16">
        <v>302.5</v>
      </c>
      <c r="D488" s="11">
        <v>286</v>
      </c>
      <c r="E488" s="7">
        <f t="shared" si="21"/>
        <v>1</v>
      </c>
      <c r="F488" s="22" t="str">
        <f>IF(ISERROR(VLOOKUP($A488,#REF!,3,0)),"x",VLOOKUP($A488,#REF!,3,FALSE))</f>
        <v>x</v>
      </c>
      <c r="G488" s="9">
        <f t="shared" si="22"/>
        <v>1</v>
      </c>
      <c r="H488" s="13">
        <f t="shared" si="23"/>
        <v>302.5</v>
      </c>
    </row>
    <row r="489" spans="1:8" x14ac:dyDescent="0.25">
      <c r="A489" s="2" t="str">
        <f>"C-MOD3"</f>
        <v>C-MOD3</v>
      </c>
      <c r="B489" s="2" t="str">
        <f>"Einbaudose für MOD-3xxx"</f>
        <v>Einbaudose für MOD-3xxx</v>
      </c>
      <c r="C489" s="16">
        <v>8</v>
      </c>
      <c r="D489" s="11">
        <v>293</v>
      </c>
      <c r="E489" s="7">
        <f t="shared" si="21"/>
        <v>1</v>
      </c>
      <c r="F489" s="22" t="str">
        <f>IF(ISERROR(VLOOKUP($A489,#REF!,3,0)),"x",VLOOKUP($A489,#REF!,3,FALSE))</f>
        <v>x</v>
      </c>
      <c r="G489" s="9">
        <f t="shared" si="22"/>
        <v>1</v>
      </c>
      <c r="H489" s="13">
        <f t="shared" si="23"/>
        <v>8</v>
      </c>
    </row>
    <row r="490" spans="1:8" x14ac:dyDescent="0.25">
      <c r="A490" s="2" t="str">
        <f>"C-MOD6"</f>
        <v>C-MOD6</v>
      </c>
      <c r="B490" s="2" t="str">
        <f>"Einbaudose für MOD-6xxx"</f>
        <v>Einbaudose für MOD-6xxx</v>
      </c>
      <c r="C490" s="16">
        <v>10.5</v>
      </c>
      <c r="D490" s="11">
        <v>293</v>
      </c>
      <c r="E490" s="7">
        <f t="shared" si="21"/>
        <v>1</v>
      </c>
      <c r="F490" s="22" t="str">
        <f>IF(ISERROR(VLOOKUP($A490,#REF!,3,0)),"x",VLOOKUP($A490,#REF!,3,FALSE))</f>
        <v>x</v>
      </c>
      <c r="G490" s="9">
        <f t="shared" si="22"/>
        <v>1</v>
      </c>
      <c r="H490" s="13">
        <f t="shared" si="23"/>
        <v>10.5</v>
      </c>
    </row>
    <row r="491" spans="1:8" x14ac:dyDescent="0.25">
      <c r="A491" s="2" t="str">
        <f>"C-RGBW-DMX"</f>
        <v>C-RGBW-DMX</v>
      </c>
      <c r="B491" s="2" t="str">
        <f>"1181 RGBW Signal Sender für Goccia RGBW Leuchten"</f>
        <v>1181 RGBW Signal Sender für Goccia RGBW Leuchten</v>
      </c>
      <c r="C491" s="16">
        <v>305</v>
      </c>
      <c r="D491" s="11">
        <v>313</v>
      </c>
      <c r="E491" s="7">
        <f t="shared" si="21"/>
        <v>1</v>
      </c>
      <c r="F491" s="22" t="str">
        <f>IF(ISERROR(VLOOKUP($A491,#REF!,3,0)),"x",VLOOKUP($A491,#REF!,3,FALSE))</f>
        <v>x</v>
      </c>
      <c r="G491" s="9">
        <f t="shared" si="22"/>
        <v>1</v>
      </c>
      <c r="H491" s="13">
        <f t="shared" si="23"/>
        <v>305</v>
      </c>
    </row>
    <row r="492" spans="1:8" x14ac:dyDescent="0.25">
      <c r="A492" s="2" t="str">
        <f>"C-STAMP120"</f>
        <v>C-STAMP120</v>
      </c>
      <c r="B492" s="2" t="str">
        <f>"5358 Einbaudose für STAMP 5321"</f>
        <v>5358 Einbaudose für STAMP 5321</v>
      </c>
      <c r="C492" s="16">
        <v>45</v>
      </c>
      <c r="D492" s="11">
        <v>261</v>
      </c>
      <c r="E492" s="7">
        <f t="shared" si="21"/>
        <v>1</v>
      </c>
      <c r="F492" s="22" t="str">
        <f>IF(ISERROR(VLOOKUP($A492,#REF!,3,0)),"x",VLOOKUP($A492,#REF!,3,FALSE))</f>
        <v>x</v>
      </c>
      <c r="G492" s="9">
        <f t="shared" si="22"/>
        <v>1</v>
      </c>
      <c r="H492" s="13">
        <f t="shared" si="23"/>
        <v>45</v>
      </c>
    </row>
    <row r="493" spans="1:8" x14ac:dyDescent="0.25">
      <c r="A493" s="2" t="str">
        <f>"C-STAMP187"</f>
        <v>C-STAMP187</v>
      </c>
      <c r="B493" s="2" t="str">
        <f>"5359 Einbaudose für STAMP 5323"</f>
        <v>5359 Einbaudose für STAMP 5323</v>
      </c>
      <c r="C493" s="16">
        <v>57.5</v>
      </c>
      <c r="D493" s="11">
        <v>261</v>
      </c>
      <c r="E493" s="7">
        <f t="shared" si="21"/>
        <v>1</v>
      </c>
      <c r="F493" s="22" t="str">
        <f>IF(ISERROR(VLOOKUP($A493,#REF!,3,0)),"x",VLOOKUP($A493,#REF!,3,FALSE))</f>
        <v>x</v>
      </c>
      <c r="G493" s="9">
        <f t="shared" si="22"/>
        <v>1</v>
      </c>
      <c r="H493" s="13">
        <f t="shared" si="23"/>
        <v>57.5</v>
      </c>
    </row>
    <row r="494" spans="1:8" x14ac:dyDescent="0.25">
      <c r="A494" s="2" t="str">
        <f>"C-TR-11006"</f>
        <v>C-TR-11006</v>
      </c>
      <c r="B494" s="2" t="str">
        <f>"3344GR TRIANGOLO Mast, H=1100mm, für 1 oder 2 Triangolo Leuchten, graphitgrau"</f>
        <v>3344GR TRIANGOLO Mast, H=1100mm, für 1 oder 2 Triangolo Leuchten, graphitgrau</v>
      </c>
      <c r="C494" s="16">
        <v>460</v>
      </c>
      <c r="D494" s="11">
        <v>333</v>
      </c>
      <c r="E494" s="7">
        <f t="shared" si="21"/>
        <v>1</v>
      </c>
      <c r="F494" s="22" t="str">
        <f>IF(ISERROR(VLOOKUP($A494,#REF!,3,0)),"x",VLOOKUP($A494,#REF!,3,FALSE))</f>
        <v>x</v>
      </c>
      <c r="G494" s="9">
        <f t="shared" si="22"/>
        <v>1</v>
      </c>
      <c r="H494" s="13">
        <f t="shared" si="23"/>
        <v>460</v>
      </c>
    </row>
    <row r="495" spans="1:8" x14ac:dyDescent="0.25">
      <c r="A495" s="2" t="str">
        <f>"C-TR-11007"</f>
        <v>C-TR-11007</v>
      </c>
      <c r="B495" s="2" t="str">
        <f>"3344SI TRIANGOLO Mast, H=1100mm, für 1 oder 2 Triangolo Leuchten, metallgrau"</f>
        <v>3344SI TRIANGOLO Mast, H=1100mm, für 1 oder 2 Triangolo Leuchten, metallgrau</v>
      </c>
      <c r="C495" s="16">
        <v>475</v>
      </c>
      <c r="D495" s="11">
        <v>333</v>
      </c>
      <c r="E495" s="7">
        <f t="shared" si="21"/>
        <v>1</v>
      </c>
      <c r="F495" s="22" t="str">
        <f>IF(ISERROR(VLOOKUP($A495,#REF!,3,0)),"x",VLOOKUP($A495,#REF!,3,FALSE))</f>
        <v>x</v>
      </c>
      <c r="G495" s="9">
        <f t="shared" si="22"/>
        <v>1</v>
      </c>
      <c r="H495" s="13">
        <f t="shared" si="23"/>
        <v>475</v>
      </c>
    </row>
    <row r="496" spans="1:8" x14ac:dyDescent="0.25">
      <c r="A496" s="2" t="str">
        <f>"CAL-END"</f>
        <v>CAL-END</v>
      </c>
      <c r="B496" s="2" t="str">
        <f>"Enddeckel zu Einbauprofil CAL LED "</f>
        <v xml:space="preserve">Enddeckel zu Einbauprofil CAL LED </v>
      </c>
      <c r="C496" s="16">
        <v>15.75</v>
      </c>
      <c r="D496" s="11">
        <v>219</v>
      </c>
      <c r="E496" s="7">
        <f t="shared" si="21"/>
        <v>1</v>
      </c>
      <c r="F496" s="22" t="str">
        <f>IF(ISERROR(VLOOKUP($A496,#REF!,3,0)),"x",VLOOKUP($A496,#REF!,3,FALSE))</f>
        <v>x</v>
      </c>
      <c r="G496" s="9">
        <f t="shared" si="22"/>
        <v>1</v>
      </c>
      <c r="H496" s="13">
        <f t="shared" si="23"/>
        <v>15.75</v>
      </c>
    </row>
    <row r="497" spans="1:8" x14ac:dyDescent="0.25">
      <c r="A497" s="2" t="str">
        <f>"CAL-EV"</f>
        <v>CAL-EV</v>
      </c>
      <c r="B497" s="2" t="str">
        <f>"Eckverbinder Einbauprofil CAL LED"</f>
        <v>Eckverbinder Einbauprofil CAL LED</v>
      </c>
      <c r="C497" s="16">
        <v>5.25</v>
      </c>
      <c r="D497" s="11">
        <v>219</v>
      </c>
      <c r="E497" s="7">
        <f t="shared" si="21"/>
        <v>1</v>
      </c>
      <c r="F497" s="22" t="str">
        <f>IF(ISERROR(VLOOKUP($A497,#REF!,3,0)),"x",VLOOKUP($A497,#REF!,3,FALSE))</f>
        <v>x</v>
      </c>
      <c r="G497" s="9">
        <f t="shared" si="22"/>
        <v>1</v>
      </c>
      <c r="H497" s="13">
        <f t="shared" si="23"/>
        <v>5.25</v>
      </c>
    </row>
    <row r="498" spans="1:8" x14ac:dyDescent="0.25">
      <c r="A498" s="2" t="str">
        <f>"CAL-LV"</f>
        <v>CAL-LV</v>
      </c>
      <c r="B498" s="2" t="str">
        <f>"Längsverbinder Einbauprofil CAL LED"</f>
        <v>Längsverbinder Einbauprofil CAL LED</v>
      </c>
      <c r="C498" s="16">
        <v>9</v>
      </c>
      <c r="D498" s="11">
        <v>219</v>
      </c>
      <c r="E498" s="7">
        <f t="shared" si="21"/>
        <v>1</v>
      </c>
      <c r="F498" s="22" t="str">
        <f>IF(ISERROR(VLOOKUP($A498,#REF!,3,0)),"x",VLOOKUP($A498,#REF!,3,FALSE))</f>
        <v>x</v>
      </c>
      <c r="G498" s="9">
        <f t="shared" si="22"/>
        <v>1</v>
      </c>
      <c r="H498" s="13">
        <f t="shared" si="23"/>
        <v>9</v>
      </c>
    </row>
    <row r="499" spans="1:8" x14ac:dyDescent="0.25">
      <c r="A499" s="2" t="str">
        <f>"CAL-MF"</f>
        <v>CAL-MF</v>
      </c>
      <c r="B499" s="2" t="str">
        <f>"Montagefeder Einbauprofil CAL LED "</f>
        <v xml:space="preserve">Montagefeder Einbauprofil CAL LED </v>
      </c>
      <c r="C499" s="16">
        <v>10.5</v>
      </c>
      <c r="D499" s="11">
        <v>219</v>
      </c>
      <c r="E499" s="7">
        <f t="shared" si="21"/>
        <v>1</v>
      </c>
      <c r="F499" s="22" t="str">
        <f>IF(ISERROR(VLOOKUP($A499,#REF!,3,0)),"x",VLOOKUP($A499,#REF!,3,FALSE))</f>
        <v>x</v>
      </c>
      <c r="G499" s="9">
        <f t="shared" si="22"/>
        <v>1</v>
      </c>
      <c r="H499" s="13">
        <f t="shared" si="23"/>
        <v>10.5</v>
      </c>
    </row>
    <row r="500" spans="1:8" x14ac:dyDescent="0.25">
      <c r="A500" s="2" t="str">
        <f>"CAL-P-2"</f>
        <v>CAL-P-2</v>
      </c>
      <c r="B500" s="2" t="str">
        <f>"Einbauprofil CAL LED, Profil Aluminium eloxiert 2020 mm"</f>
        <v>Einbauprofil CAL LED, Profil Aluminium eloxiert 2020 mm</v>
      </c>
      <c r="C500" s="16">
        <v>55</v>
      </c>
      <c r="D500" s="11">
        <v>219</v>
      </c>
      <c r="E500" s="7">
        <f t="shared" si="21"/>
        <v>1</v>
      </c>
      <c r="F500" s="22" t="str">
        <f>IF(ISERROR(VLOOKUP($A500,#REF!,3,0)),"x",VLOOKUP($A500,#REF!,3,FALSE))</f>
        <v>x</v>
      </c>
      <c r="G500" s="9">
        <f t="shared" si="22"/>
        <v>1</v>
      </c>
      <c r="H500" s="13">
        <f t="shared" si="23"/>
        <v>55</v>
      </c>
    </row>
    <row r="501" spans="1:8" x14ac:dyDescent="0.25">
      <c r="A501" s="2" t="str">
        <f>"CAL-P-5"</f>
        <v>CAL-P-5</v>
      </c>
      <c r="B501" s="2" t="str">
        <f>"Einbauprofil CAL LED, Profil Aluminium eloxiert 5020 mm"</f>
        <v>Einbauprofil CAL LED, Profil Aluminium eloxiert 5020 mm</v>
      </c>
      <c r="C501" s="16">
        <v>97.5</v>
      </c>
      <c r="D501" s="11">
        <v>219</v>
      </c>
      <c r="E501" s="7">
        <f t="shared" si="21"/>
        <v>1</v>
      </c>
      <c r="F501" s="22" t="str">
        <f>IF(ISERROR(VLOOKUP($A501,#REF!,3,0)),"x",VLOOKUP($A501,#REF!,3,FALSE))</f>
        <v>x</v>
      </c>
      <c r="G501" s="9">
        <f t="shared" si="22"/>
        <v>1</v>
      </c>
      <c r="H501" s="13">
        <f t="shared" si="23"/>
        <v>97.5</v>
      </c>
    </row>
    <row r="502" spans="1:8" x14ac:dyDescent="0.25">
      <c r="A502" s="2" t="str">
        <f>"CAP-A-2K"</f>
        <v>CAP-A-2K</v>
      </c>
      <c r="B502" s="2" t="str">
        <f>"CAPLED Profilabdeckung Kunstoff, klar, rund, 2,02 Meter"</f>
        <v>CAPLED Profilabdeckung Kunstoff, klar, rund, 2,02 Meter</v>
      </c>
      <c r="C502" s="16">
        <v>24.75</v>
      </c>
      <c r="D502" s="11">
        <v>216</v>
      </c>
      <c r="E502" s="7">
        <f t="shared" si="21"/>
        <v>1</v>
      </c>
      <c r="F502" s="22" t="str">
        <f>IF(ISERROR(VLOOKUP($A502,#REF!,3,0)),"x",VLOOKUP($A502,#REF!,3,FALSE))</f>
        <v>x</v>
      </c>
      <c r="G502" s="9">
        <f t="shared" si="22"/>
        <v>1</v>
      </c>
      <c r="H502" s="13">
        <f t="shared" si="23"/>
        <v>24.75</v>
      </c>
    </row>
    <row r="503" spans="1:8" x14ac:dyDescent="0.25">
      <c r="A503" s="2" t="str">
        <f>"CAP-A-2O"</f>
        <v>CAP-A-2O</v>
      </c>
      <c r="B503" s="2" t="str">
        <f>"CAPLED Profilabdeckung Kunstoff, opal, eckig, 2,02 Meter"</f>
        <v>CAPLED Profilabdeckung Kunstoff, opal, eckig, 2,02 Meter</v>
      </c>
      <c r="C503" s="16">
        <v>24.75</v>
      </c>
      <c r="D503" s="11">
        <v>216</v>
      </c>
      <c r="E503" s="7">
        <f t="shared" si="21"/>
        <v>1</v>
      </c>
      <c r="F503" s="22" t="str">
        <f>IF(ISERROR(VLOOKUP($A503,#REF!,3,0)),"x",VLOOKUP($A503,#REF!,3,FALSE))</f>
        <v>x</v>
      </c>
      <c r="G503" s="9">
        <f t="shared" si="22"/>
        <v>1</v>
      </c>
      <c r="H503" s="13">
        <f t="shared" si="23"/>
        <v>24.75</v>
      </c>
    </row>
    <row r="504" spans="1:8" x14ac:dyDescent="0.25">
      <c r="A504" s="2" t="str">
        <f>"CAP-A-2OR"</f>
        <v>CAP-A-2OR</v>
      </c>
      <c r="B504" s="2" t="str">
        <f>"CAPLED Profilabdeckung Kunstoff, opal, rund, 2,02 Meter"</f>
        <v>CAPLED Profilabdeckung Kunstoff, opal, rund, 2,02 Meter</v>
      </c>
      <c r="C504" s="16">
        <v>24.75</v>
      </c>
      <c r="D504" s="11">
        <v>216</v>
      </c>
      <c r="E504" s="7">
        <f t="shared" si="21"/>
        <v>1</v>
      </c>
      <c r="F504" s="22" t="str">
        <f>IF(ISERROR(VLOOKUP($A504,#REF!,3,0)),"x",VLOOKUP($A504,#REF!,3,FALSE))</f>
        <v>x</v>
      </c>
      <c r="G504" s="9">
        <f t="shared" si="22"/>
        <v>1</v>
      </c>
      <c r="H504" s="13">
        <f t="shared" si="23"/>
        <v>24.75</v>
      </c>
    </row>
    <row r="505" spans="1:8" x14ac:dyDescent="0.25">
      <c r="A505" s="2" t="str">
        <f>"CAP-A-6K"</f>
        <v>CAP-A-6K</v>
      </c>
      <c r="B505" s="2" t="str">
        <f>"CAPLED Profilabdeckung Kunstoff, klar, rund, 6,2m"</f>
        <v>CAPLED Profilabdeckung Kunstoff, klar, rund, 6,2m</v>
      </c>
      <c r="C505" s="16">
        <v>49.75</v>
      </c>
      <c r="D505" s="11">
        <v>216</v>
      </c>
      <c r="E505" s="7">
        <f t="shared" si="21"/>
        <v>1</v>
      </c>
      <c r="F505" s="22" t="str">
        <f>IF(ISERROR(VLOOKUP($A505,#REF!,3,0)),"x",VLOOKUP($A505,#REF!,3,FALSE))</f>
        <v>x</v>
      </c>
      <c r="G505" s="9">
        <f t="shared" si="22"/>
        <v>1</v>
      </c>
      <c r="H505" s="13">
        <f t="shared" si="23"/>
        <v>49.75</v>
      </c>
    </row>
    <row r="506" spans="1:8" x14ac:dyDescent="0.25">
      <c r="A506" s="2" t="str">
        <f>"CAP-A-6O"</f>
        <v>CAP-A-6O</v>
      </c>
      <c r="B506" s="2" t="str">
        <f>"CAPLED Profilabdeckung Kunststoff, opal, eckig 6100mm"</f>
        <v>CAPLED Profilabdeckung Kunststoff, opal, eckig 6100mm</v>
      </c>
      <c r="C506" s="16">
        <v>49.75</v>
      </c>
      <c r="D506" s="11">
        <v>216</v>
      </c>
      <c r="E506" s="7">
        <f t="shared" si="21"/>
        <v>1</v>
      </c>
      <c r="F506" s="22" t="str">
        <f>IF(ISERROR(VLOOKUP($A506,#REF!,3,0)),"x",VLOOKUP($A506,#REF!,3,FALSE))</f>
        <v>x</v>
      </c>
      <c r="G506" s="9">
        <f t="shared" si="22"/>
        <v>1</v>
      </c>
      <c r="H506" s="13">
        <f t="shared" si="23"/>
        <v>49.75</v>
      </c>
    </row>
    <row r="507" spans="1:8" x14ac:dyDescent="0.25">
      <c r="A507" s="2" t="str">
        <f>"CAP-A-6OR"</f>
        <v>CAP-A-6OR</v>
      </c>
      <c r="B507" s="2" t="str">
        <f>"CAPLED Profilabdeckung Kunststoff, opal, rund, 6100mm"</f>
        <v>CAPLED Profilabdeckung Kunststoff, opal, rund, 6100mm</v>
      </c>
      <c r="C507" s="16">
        <v>49.75</v>
      </c>
      <c r="D507" s="11">
        <v>216</v>
      </c>
      <c r="E507" s="7">
        <f t="shared" si="21"/>
        <v>1</v>
      </c>
      <c r="F507" s="22" t="str">
        <f>IF(ISERROR(VLOOKUP($A507,#REF!,3,0)),"x",VLOOKUP($A507,#REF!,3,FALSE))</f>
        <v>x</v>
      </c>
      <c r="G507" s="9">
        <f t="shared" si="22"/>
        <v>1</v>
      </c>
      <c r="H507" s="13">
        <f t="shared" si="23"/>
        <v>49.75</v>
      </c>
    </row>
    <row r="508" spans="1:8" x14ac:dyDescent="0.25">
      <c r="A508" s="2" t="str">
        <f>"CAP-C"</f>
        <v>CAP-C</v>
      </c>
      <c r="B508" s="2" t="str">
        <f>"CAPLED Montageclip zur Deckenbefestigung (1 Stk.)"</f>
        <v>CAPLED Montageclip zur Deckenbefestigung (1 Stk.)</v>
      </c>
      <c r="C508" s="16">
        <v>2.25</v>
      </c>
      <c r="D508" s="11">
        <v>216</v>
      </c>
      <c r="E508" s="7">
        <f t="shared" si="21"/>
        <v>1</v>
      </c>
      <c r="F508" s="22" t="str">
        <f>IF(ISERROR(VLOOKUP($A508,#REF!,3,0)),"x",VLOOKUP($A508,#REF!,3,FALSE))</f>
        <v>x</v>
      </c>
      <c r="G508" s="9">
        <f t="shared" si="22"/>
        <v>1</v>
      </c>
      <c r="H508" s="13">
        <f t="shared" si="23"/>
        <v>2.25</v>
      </c>
    </row>
    <row r="509" spans="1:8" x14ac:dyDescent="0.25">
      <c r="A509" s="2" t="str">
        <f>"CAP-EKE7"</f>
        <v>CAP-EKE7</v>
      </c>
      <c r="B509" s="2" t="str">
        <f>"CAPLED Endkappe, eckig, geschlossen, 1 Stück alugrau"</f>
        <v>CAPLED Endkappe, eckig, geschlossen, 1 Stück alugrau</v>
      </c>
      <c r="C509" s="16">
        <v>8.5</v>
      </c>
      <c r="D509" s="11">
        <v>216</v>
      </c>
      <c r="E509" s="7">
        <f t="shared" si="21"/>
        <v>1</v>
      </c>
      <c r="F509" s="22" t="str">
        <f>IF(ISERROR(VLOOKUP($A509,#REF!,3,0)),"x",VLOOKUP($A509,#REF!,3,FALSE))</f>
        <v>x</v>
      </c>
      <c r="G509" s="9">
        <f t="shared" si="22"/>
        <v>1</v>
      </c>
      <c r="H509" s="13">
        <f t="shared" si="23"/>
        <v>8.5</v>
      </c>
    </row>
    <row r="510" spans="1:8" x14ac:dyDescent="0.25">
      <c r="A510" s="2" t="str">
        <f>"CAP-EKEO7"</f>
        <v>CAP-EKEO7</v>
      </c>
      <c r="B510" s="2" t="str">
        <f>"CAPLED Endkappe, eckig, mit Kabelöffnung, 1 Stück, alugrau"</f>
        <v>CAPLED Endkappe, eckig, mit Kabelöffnung, 1 Stück, alugrau</v>
      </c>
      <c r="C510" s="16">
        <v>9.5</v>
      </c>
      <c r="D510" s="11">
        <v>216</v>
      </c>
      <c r="E510" s="7">
        <f t="shared" si="21"/>
        <v>1</v>
      </c>
      <c r="F510" s="22" t="str">
        <f>IF(ISERROR(VLOOKUP($A510,#REF!,3,0)),"x",VLOOKUP($A510,#REF!,3,FALSE))</f>
        <v>x</v>
      </c>
      <c r="G510" s="9">
        <f t="shared" si="22"/>
        <v>1</v>
      </c>
      <c r="H510" s="13">
        <f t="shared" si="23"/>
        <v>9.5</v>
      </c>
    </row>
    <row r="511" spans="1:8" x14ac:dyDescent="0.25">
      <c r="A511" s="2" t="str">
        <f>"CAP-EKR7"</f>
        <v>CAP-EKR7</v>
      </c>
      <c r="B511" s="2" t="str">
        <f>"CAPLED Endkappe, rund, geschlossen, 1 Stück alugrau"</f>
        <v>CAPLED Endkappe, rund, geschlossen, 1 Stück alugrau</v>
      </c>
      <c r="C511" s="16">
        <v>15</v>
      </c>
      <c r="D511" s="11">
        <v>216</v>
      </c>
      <c r="E511" s="7">
        <f t="shared" si="21"/>
        <v>1</v>
      </c>
      <c r="F511" s="22" t="str">
        <f>IF(ISERROR(VLOOKUP($A511,#REF!,3,0)),"x",VLOOKUP($A511,#REF!,3,FALSE))</f>
        <v>x</v>
      </c>
      <c r="G511" s="9">
        <f t="shared" si="22"/>
        <v>1</v>
      </c>
      <c r="H511" s="13">
        <f t="shared" si="23"/>
        <v>15</v>
      </c>
    </row>
    <row r="512" spans="1:8" x14ac:dyDescent="0.25">
      <c r="A512" s="2" t="str">
        <f>"CAP-EKRO7"</f>
        <v>CAP-EKRO7</v>
      </c>
      <c r="B512" s="2" t="str">
        <f>"CAPLED Endkappe, rund, mit Kabelöffnung, 1 Stück alugrau"</f>
        <v>CAPLED Endkappe, rund, mit Kabelöffnung, 1 Stück alugrau</v>
      </c>
      <c r="C512" s="16">
        <v>15</v>
      </c>
      <c r="D512" s="11">
        <v>216</v>
      </c>
      <c r="E512" s="7">
        <f t="shared" si="21"/>
        <v>1</v>
      </c>
      <c r="F512" s="22" t="str">
        <f>IF(ISERROR(VLOOKUP($A512,#REF!,3,0)),"x",VLOOKUP($A512,#REF!,3,FALSE))</f>
        <v>x</v>
      </c>
      <c r="G512" s="9">
        <f t="shared" si="22"/>
        <v>1</v>
      </c>
      <c r="H512" s="13">
        <f t="shared" si="23"/>
        <v>15</v>
      </c>
    </row>
    <row r="513" spans="1:8" x14ac:dyDescent="0.25">
      <c r="A513" s="2" t="str">
        <f>"CAP-P-2"</f>
        <v>CAP-P-2</v>
      </c>
      <c r="B513" s="2" t="str">
        <f>"CAPLED U-Profil Aluminium eloxiert 2,02 Meter"</f>
        <v>CAPLED U-Profil Aluminium eloxiert 2,02 Meter</v>
      </c>
      <c r="C513" s="16">
        <v>22.5</v>
      </c>
      <c r="D513" s="11">
        <v>216</v>
      </c>
      <c r="E513" s="7">
        <f t="shared" si="21"/>
        <v>1</v>
      </c>
      <c r="F513" s="22" t="str">
        <f>IF(ISERROR(VLOOKUP($A513,#REF!,3,0)),"x",VLOOKUP($A513,#REF!,3,FALSE))</f>
        <v>x</v>
      </c>
      <c r="G513" s="9">
        <f t="shared" si="22"/>
        <v>1</v>
      </c>
      <c r="H513" s="13">
        <f t="shared" si="23"/>
        <v>22.5</v>
      </c>
    </row>
    <row r="514" spans="1:8" x14ac:dyDescent="0.25">
      <c r="A514" s="2" t="str">
        <f>"CAP-P-6"</f>
        <v>CAP-P-6</v>
      </c>
      <c r="B514" s="2" t="str">
        <f>"CAPLED U-Profil Aluminium eloxiert 6m"</f>
        <v>CAPLED U-Profil Aluminium eloxiert 6m</v>
      </c>
      <c r="C514" s="16">
        <v>55</v>
      </c>
      <c r="D514" s="11">
        <v>216</v>
      </c>
      <c r="E514" s="7">
        <f t="shared" si="21"/>
        <v>1</v>
      </c>
      <c r="F514" s="22" t="str">
        <f>IF(ISERROR(VLOOKUP($A514,#REF!,3,0)),"x",VLOOKUP($A514,#REF!,3,FALSE))</f>
        <v>x</v>
      </c>
      <c r="G514" s="9">
        <f t="shared" si="22"/>
        <v>1</v>
      </c>
      <c r="H514" s="13">
        <f t="shared" si="23"/>
        <v>55</v>
      </c>
    </row>
    <row r="515" spans="1:8" x14ac:dyDescent="0.25">
      <c r="A515" s="2" t="str">
        <f>"CAS-L1K"</f>
        <v>CAS-L1K</v>
      </c>
      <c r="B515" s="2" t="str">
        <f>"CASAMBI PWM4 Bluetooth Lichtsteuerung 1 Kanal"</f>
        <v>CASAMBI PWM4 Bluetooth Lichtsteuerung 1 Kanal</v>
      </c>
      <c r="C515" s="16">
        <v>156.5</v>
      </c>
      <c r="D515" s="11">
        <v>368</v>
      </c>
      <c r="E515" s="7">
        <f t="shared" si="21"/>
        <v>1</v>
      </c>
      <c r="F515" s="22" t="str">
        <f>IF(ISERROR(VLOOKUP($A515,#REF!,3,0)),"x",VLOOKUP($A515,#REF!,3,FALSE))</f>
        <v>x</v>
      </c>
      <c r="G515" s="9">
        <f t="shared" si="22"/>
        <v>1</v>
      </c>
      <c r="H515" s="13">
        <f t="shared" si="23"/>
        <v>156.5</v>
      </c>
    </row>
    <row r="516" spans="1:8" x14ac:dyDescent="0.25">
      <c r="A516" s="2" t="str">
        <f>"CAS-L4K"</f>
        <v>CAS-L4K</v>
      </c>
      <c r="B516" s="2" t="str">
        <f>"CASAMBI PWM4 Bluetooth Lichtsteuerung 4 Kanal"</f>
        <v>CASAMBI PWM4 Bluetooth Lichtsteuerung 4 Kanal</v>
      </c>
      <c r="C516" s="16">
        <v>156.5</v>
      </c>
      <c r="D516" s="11">
        <v>368</v>
      </c>
      <c r="E516" s="7">
        <f t="shared" ref="E516:E579" si="24">G516</f>
        <v>1</v>
      </c>
      <c r="F516" s="22" t="str">
        <f>IF(ISERROR(VLOOKUP($A516,#REF!,3,0)),"x",VLOOKUP($A516,#REF!,3,FALSE))</f>
        <v>x</v>
      </c>
      <c r="G516" s="9">
        <f t="shared" ref="G516:G579" si="25">IF(C516&lt;F516,1,IF(C516&gt;F516,-1,0))</f>
        <v>1</v>
      </c>
      <c r="H516" s="13">
        <f t="shared" si="23"/>
        <v>156.5</v>
      </c>
    </row>
    <row r="517" spans="1:8" x14ac:dyDescent="0.25">
      <c r="A517" s="2" t="str">
        <f>"CAS-LCCT"</f>
        <v>CAS-LCCT</v>
      </c>
      <c r="B517" s="2" t="str">
        <f>"CASAMBI PWM4 Bluetooth Lichtsteuerung Tunable white "</f>
        <v xml:space="preserve">CASAMBI PWM4 Bluetooth Lichtsteuerung Tunable white </v>
      </c>
      <c r="C517" s="16">
        <v>156.5</v>
      </c>
      <c r="D517" s="11">
        <v>369</v>
      </c>
      <c r="E517" s="7">
        <f t="shared" si="24"/>
        <v>1</v>
      </c>
      <c r="F517" s="22" t="str">
        <f>IF(ISERROR(VLOOKUP($A517,#REF!,3,0)),"x",VLOOKUP($A517,#REF!,3,FALSE))</f>
        <v>x</v>
      </c>
      <c r="G517" s="9">
        <f t="shared" si="25"/>
        <v>1</v>
      </c>
      <c r="H517" s="13">
        <f t="shared" si="23"/>
        <v>156.5</v>
      </c>
    </row>
    <row r="518" spans="1:8" x14ac:dyDescent="0.25">
      <c r="A518" s="2" t="str">
        <f>"CAS-LDD1KA"</f>
        <v>CAS-LDD1KA</v>
      </c>
      <c r="B518" s="2" t="str">
        <f>"CASAMBI Bluetooth Lichtsteuerung DALI, 1 Kanal, Aufbau"</f>
        <v>CASAMBI Bluetooth Lichtsteuerung DALI, 1 Kanal, Aufbau</v>
      </c>
      <c r="C518" s="16">
        <v>140</v>
      </c>
      <c r="D518" s="11">
        <v>368</v>
      </c>
      <c r="E518" s="7">
        <f t="shared" si="24"/>
        <v>1</v>
      </c>
      <c r="F518" s="22" t="str">
        <f>IF(ISERROR(VLOOKUP($A518,#REF!,3,0)),"x",VLOOKUP($A518,#REF!,3,FALSE))</f>
        <v>x</v>
      </c>
      <c r="G518" s="9">
        <f t="shared" si="25"/>
        <v>1</v>
      </c>
      <c r="H518" s="13">
        <f t="shared" ref="H518:H581" si="26">IF(F518="x",C518,F518)</f>
        <v>140</v>
      </c>
    </row>
    <row r="519" spans="1:8" x14ac:dyDescent="0.25">
      <c r="A519" s="2" t="str">
        <f>"CAS-LDD1KE"</f>
        <v>CAS-LDD1KE</v>
      </c>
      <c r="B519" s="2" t="str">
        <f>"CASAMBI Bluetooth Lichtsteuerung DALI, 1 Kanal, Einbau"</f>
        <v>CASAMBI Bluetooth Lichtsteuerung DALI, 1 Kanal, Einbau</v>
      </c>
      <c r="C519" s="16">
        <v>132.5</v>
      </c>
      <c r="D519" s="11">
        <v>368</v>
      </c>
      <c r="E519" s="7">
        <f t="shared" si="24"/>
        <v>1</v>
      </c>
      <c r="F519" s="22" t="str">
        <f>IF(ISERROR(VLOOKUP($A519,#REF!,3,0)),"x",VLOOKUP($A519,#REF!,3,FALSE))</f>
        <v>x</v>
      </c>
      <c r="G519" s="9">
        <f t="shared" si="25"/>
        <v>1</v>
      </c>
      <c r="H519" s="13">
        <f t="shared" si="26"/>
        <v>132.5</v>
      </c>
    </row>
    <row r="520" spans="1:8" x14ac:dyDescent="0.25">
      <c r="A520" s="2" t="str">
        <f>"CAS-LDD4KA"</f>
        <v>CAS-LDD4KA</v>
      </c>
      <c r="B520" s="2" t="str">
        <f>"CASAMBI Bluetooth Lichtsteuerung DALI, 4 Kanal, Aufbau"</f>
        <v>CASAMBI Bluetooth Lichtsteuerung DALI, 4 Kanal, Aufbau</v>
      </c>
      <c r="C520" s="16">
        <v>146</v>
      </c>
      <c r="D520" s="11">
        <v>368</v>
      </c>
      <c r="E520" s="7">
        <f t="shared" si="24"/>
        <v>1</v>
      </c>
      <c r="F520" s="22" t="str">
        <f>IF(ISERROR(VLOOKUP($A520,#REF!,3,0)),"x",VLOOKUP($A520,#REF!,3,FALSE))</f>
        <v>x</v>
      </c>
      <c r="G520" s="9">
        <f t="shared" si="25"/>
        <v>1</v>
      </c>
      <c r="H520" s="13">
        <f t="shared" si="26"/>
        <v>146</v>
      </c>
    </row>
    <row r="521" spans="1:8" x14ac:dyDescent="0.25">
      <c r="A521" s="2" t="str">
        <f>"CAS-LDD4KE"</f>
        <v>CAS-LDD4KE</v>
      </c>
      <c r="B521" s="2" t="str">
        <f>"CASAMBI Bluetooth Lichtsteuerung DALI, 4 Kanal, Einbau"</f>
        <v>CASAMBI Bluetooth Lichtsteuerung DALI, 4 Kanal, Einbau</v>
      </c>
      <c r="C521" s="16">
        <v>138.25</v>
      </c>
      <c r="D521" s="11">
        <v>368</v>
      </c>
      <c r="E521" s="7">
        <f t="shared" si="24"/>
        <v>1</v>
      </c>
      <c r="F521" s="22" t="str">
        <f>IF(ISERROR(VLOOKUP($A521,#REF!,3,0)),"x",VLOOKUP($A521,#REF!,3,FALSE))</f>
        <v>x</v>
      </c>
      <c r="G521" s="9">
        <f t="shared" si="25"/>
        <v>1</v>
      </c>
      <c r="H521" s="13">
        <f t="shared" si="26"/>
        <v>138.25</v>
      </c>
    </row>
    <row r="522" spans="1:8" x14ac:dyDescent="0.25">
      <c r="A522" s="2" t="str">
        <f>"CAS-LDIM230A"</f>
        <v>CAS-LDIM230A</v>
      </c>
      <c r="B522" s="2" t="str">
        <f>"CASAMBI Bluetooth Lichtsteuerung, 230V Dimmer, Aufbau"</f>
        <v>CASAMBI Bluetooth Lichtsteuerung, 230V Dimmer, Aufbau</v>
      </c>
      <c r="C522" s="16">
        <v>133</v>
      </c>
      <c r="D522" s="11">
        <v>368</v>
      </c>
      <c r="E522" s="7">
        <f t="shared" si="24"/>
        <v>1</v>
      </c>
      <c r="F522" s="22" t="str">
        <f>IF(ISERROR(VLOOKUP($A522,#REF!,3,0)),"x",VLOOKUP($A522,#REF!,3,FALSE))</f>
        <v>x</v>
      </c>
      <c r="G522" s="9">
        <f t="shared" si="25"/>
        <v>1</v>
      </c>
      <c r="H522" s="13">
        <f t="shared" si="26"/>
        <v>133</v>
      </c>
    </row>
    <row r="523" spans="1:8" x14ac:dyDescent="0.25">
      <c r="A523" s="2" t="str">
        <f>"CAS-LDIM230E"</f>
        <v>CAS-LDIM230E</v>
      </c>
      <c r="B523" s="2" t="str">
        <f>"CASAMBI Bluetooth Lichtsteuerung, 230V Dimmer, Einbau"</f>
        <v>CASAMBI Bluetooth Lichtsteuerung, 230V Dimmer, Einbau</v>
      </c>
      <c r="C523" s="16">
        <v>130.25</v>
      </c>
      <c r="D523" s="11">
        <v>368</v>
      </c>
      <c r="E523" s="7">
        <f t="shared" si="24"/>
        <v>1</v>
      </c>
      <c r="F523" s="22" t="str">
        <f>IF(ISERROR(VLOOKUP($A523,#REF!,3,0)),"x",VLOOKUP($A523,#REF!,3,FALSE))</f>
        <v>x</v>
      </c>
      <c r="G523" s="9">
        <f t="shared" si="25"/>
        <v>1</v>
      </c>
      <c r="H523" s="13">
        <f t="shared" si="26"/>
        <v>130.25</v>
      </c>
    </row>
    <row r="524" spans="1:8" x14ac:dyDescent="0.25">
      <c r="A524" s="2" t="str">
        <f>"CAS-LDIMA"</f>
        <v>CAS-LDIMA</v>
      </c>
      <c r="B524" s="2" t="str">
        <f>"CASAMBI Bluetooth Lichtsteuerung dimmbar 1-10V, Aufbau"</f>
        <v>CASAMBI Bluetooth Lichtsteuerung dimmbar 1-10V, Aufbau</v>
      </c>
      <c r="C524" s="16">
        <v>146</v>
      </c>
      <c r="D524" s="11">
        <v>369</v>
      </c>
      <c r="E524" s="7">
        <f t="shared" si="24"/>
        <v>1</v>
      </c>
      <c r="F524" s="22" t="str">
        <f>IF(ISERROR(VLOOKUP($A524,#REF!,3,0)),"x",VLOOKUP($A524,#REF!,3,FALSE))</f>
        <v>x</v>
      </c>
      <c r="G524" s="9">
        <f t="shared" si="25"/>
        <v>1</v>
      </c>
      <c r="H524" s="13">
        <f t="shared" si="26"/>
        <v>146</v>
      </c>
    </row>
    <row r="525" spans="1:8" x14ac:dyDescent="0.25">
      <c r="A525" s="2" t="str">
        <f>"CAS-LDIME"</f>
        <v>CAS-LDIME</v>
      </c>
      <c r="B525" s="2" t="str">
        <f>"CASAMBI Bluetooth Lichtsteuerung dimmbar 1-10V, Einbau"</f>
        <v>CASAMBI Bluetooth Lichtsteuerung dimmbar 1-10V, Einbau</v>
      </c>
      <c r="C525" s="16">
        <v>138.25</v>
      </c>
      <c r="D525" s="11">
        <v>369</v>
      </c>
      <c r="E525" s="7">
        <f t="shared" si="24"/>
        <v>1</v>
      </c>
      <c r="F525" s="22" t="str">
        <f>IF(ISERROR(VLOOKUP($A525,#REF!,3,0)),"x",VLOOKUP($A525,#REF!,3,FALSE))</f>
        <v>x</v>
      </c>
      <c r="G525" s="9">
        <f t="shared" si="25"/>
        <v>1</v>
      </c>
      <c r="H525" s="13">
        <f t="shared" si="26"/>
        <v>138.25</v>
      </c>
    </row>
    <row r="526" spans="1:8" x14ac:dyDescent="0.25">
      <c r="A526" s="2" t="str">
        <f>"CAS-LRGB"</f>
        <v>CAS-LRGB</v>
      </c>
      <c r="B526" s="2" t="str">
        <f>"CASAMBI PWM4 Bluetooth Lichtsteuerung RGB"</f>
        <v>CASAMBI PWM4 Bluetooth Lichtsteuerung RGB</v>
      </c>
      <c r="C526" s="16">
        <v>156.5</v>
      </c>
      <c r="D526" s="11">
        <v>369</v>
      </c>
      <c r="E526" s="7">
        <f t="shared" si="24"/>
        <v>1</v>
      </c>
      <c r="F526" s="22" t="str">
        <f>IF(ISERROR(VLOOKUP($A526,#REF!,3,0)),"x",VLOOKUP($A526,#REF!,3,FALSE))</f>
        <v>x</v>
      </c>
      <c r="G526" s="9">
        <f t="shared" si="25"/>
        <v>1</v>
      </c>
      <c r="H526" s="13">
        <f t="shared" si="26"/>
        <v>156.5</v>
      </c>
    </row>
    <row r="527" spans="1:8" x14ac:dyDescent="0.25">
      <c r="A527" s="2" t="str">
        <f>"CAS-LRGBW"</f>
        <v>CAS-LRGBW</v>
      </c>
      <c r="B527" s="2" t="str">
        <f>"CASAMBI PWM4 Bluetooth Lichtsteuerung RGB+W"</f>
        <v>CASAMBI PWM4 Bluetooth Lichtsteuerung RGB+W</v>
      </c>
      <c r="C527" s="16">
        <v>156.5</v>
      </c>
      <c r="D527" s="11">
        <v>369</v>
      </c>
      <c r="E527" s="7">
        <f t="shared" si="24"/>
        <v>1</v>
      </c>
      <c r="F527" s="22" t="str">
        <f>IF(ISERROR(VLOOKUP($A527,#REF!,3,0)),"x",VLOOKUP($A527,#REF!,3,FALSE))</f>
        <v>x</v>
      </c>
      <c r="G527" s="9">
        <f t="shared" si="25"/>
        <v>1</v>
      </c>
      <c r="H527" s="13">
        <f t="shared" si="26"/>
        <v>156.5</v>
      </c>
    </row>
    <row r="528" spans="1:8" x14ac:dyDescent="0.25">
      <c r="A528" s="2" t="str">
        <f>"CAS-WS2"</f>
        <v>CAS-WS2</v>
      </c>
      <c r="B528" s="2" t="str">
        <f>"Batterieloser Bluetooth Wandschalter für CASAMBI, 2 Taster"</f>
        <v>Batterieloser Bluetooth Wandschalter für CASAMBI, 2 Taster</v>
      </c>
      <c r="C528" s="16">
        <v>140.75</v>
      </c>
      <c r="D528" s="11">
        <v>369</v>
      </c>
      <c r="E528" s="7">
        <f t="shared" si="24"/>
        <v>1</v>
      </c>
      <c r="F528" s="22" t="str">
        <f>IF(ISERROR(VLOOKUP($A528,#REF!,3,0)),"x",VLOOKUP($A528,#REF!,3,FALSE))</f>
        <v>x</v>
      </c>
      <c r="G528" s="9">
        <f t="shared" si="25"/>
        <v>1</v>
      </c>
      <c r="H528" s="13">
        <f t="shared" si="26"/>
        <v>140.75</v>
      </c>
    </row>
    <row r="529" spans="1:8" x14ac:dyDescent="0.25">
      <c r="A529" s="2" t="str">
        <f>"CAS-WS4"</f>
        <v>CAS-WS4</v>
      </c>
      <c r="B529" s="2" t="str">
        <f>"Batterieloser Bluetooth Wandschalter für CASAMBI, 4 Taster"</f>
        <v>Batterieloser Bluetooth Wandschalter für CASAMBI, 4 Taster</v>
      </c>
      <c r="C529" s="16">
        <v>140.75</v>
      </c>
      <c r="D529" s="11">
        <v>369</v>
      </c>
      <c r="E529" s="7">
        <f t="shared" si="24"/>
        <v>1</v>
      </c>
      <c r="F529" s="22" t="str">
        <f>IF(ISERROR(VLOOKUP($A529,#REF!,3,0)),"x",VLOOKUP($A529,#REF!,3,FALSE))</f>
        <v>x</v>
      </c>
      <c r="G529" s="9">
        <f t="shared" si="25"/>
        <v>1</v>
      </c>
      <c r="H529" s="13">
        <f t="shared" si="26"/>
        <v>140.75</v>
      </c>
    </row>
    <row r="530" spans="1:8" x14ac:dyDescent="0.25">
      <c r="A530" s="2" t="str">
        <f>"CLA-43NW-B1"</f>
        <v>CLA-43NW-B1</v>
      </c>
      <c r="B530" s="2" t="str">
        <f>"AIR UV Sterilisationeinlegeleuchte, LED 43W, 4000K"</f>
        <v>AIR UV Sterilisationeinlegeleuchte, LED 43W, 4000K</v>
      </c>
      <c r="C530" s="16">
        <v>777.5</v>
      </c>
      <c r="D530" s="11">
        <v>203</v>
      </c>
      <c r="E530" s="7">
        <f t="shared" si="24"/>
        <v>1</v>
      </c>
      <c r="F530" s="22" t="str">
        <f>IF(ISERROR(VLOOKUP($A530,#REF!,3,0)),"x",VLOOKUP($A530,#REF!,3,FALSE))</f>
        <v>x</v>
      </c>
      <c r="G530" s="9">
        <f t="shared" si="25"/>
        <v>1</v>
      </c>
      <c r="H530" s="13">
        <f t="shared" si="26"/>
        <v>777.5</v>
      </c>
    </row>
    <row r="531" spans="1:8" x14ac:dyDescent="0.25">
      <c r="A531" s="2" t="str">
        <f>"CLOCK120-10NW6"</f>
        <v>CLOCK120-10NW6</v>
      </c>
      <c r="B531" s="2" t="str">
        <f>"4664AN4K CLOCK Outdoor Strahler, LED 10W, 40°, 4000K, Ø 120 mm, anthrazit"</f>
        <v>4664AN4K CLOCK Outdoor Strahler, LED 10W, 40°, 4000K, Ø 120 mm, anthrazit</v>
      </c>
      <c r="C531" s="16">
        <v>252.5</v>
      </c>
      <c r="D531" s="11">
        <v>311</v>
      </c>
      <c r="E531" s="7">
        <f t="shared" si="24"/>
        <v>1</v>
      </c>
      <c r="F531" s="22" t="str">
        <f>IF(ISERROR(VLOOKUP($A531,#REF!,3,0)),"x",VLOOKUP($A531,#REF!,3,FALSE))</f>
        <v>x</v>
      </c>
      <c r="G531" s="9">
        <f t="shared" si="25"/>
        <v>1</v>
      </c>
      <c r="H531" s="13">
        <f t="shared" si="26"/>
        <v>252.5</v>
      </c>
    </row>
    <row r="532" spans="1:8" x14ac:dyDescent="0.25">
      <c r="A532" s="2" t="str">
        <f>"CLOCK120-10NW7"</f>
        <v>CLOCK120-10NW7</v>
      </c>
      <c r="B532" s="2" t="str">
        <f>"4664AG4K CLOCK Outdoor Strahler, LED 10W, 40°, 4000K, Ø 120 mm, alugrau"</f>
        <v>4664AG4K CLOCK Outdoor Strahler, LED 10W, 40°, 4000K, Ø 120 mm, alugrau</v>
      </c>
      <c r="C532" s="16">
        <v>252.5</v>
      </c>
      <c r="D532" s="11">
        <v>311</v>
      </c>
      <c r="E532" s="7">
        <f t="shared" si="24"/>
        <v>1</v>
      </c>
      <c r="F532" s="22" t="str">
        <f>IF(ISERROR(VLOOKUP($A532,#REF!,3,0)),"x",VLOOKUP($A532,#REF!,3,FALSE))</f>
        <v>x</v>
      </c>
      <c r="G532" s="9">
        <f t="shared" si="25"/>
        <v>1</v>
      </c>
      <c r="H532" s="13">
        <f t="shared" si="26"/>
        <v>252.5</v>
      </c>
    </row>
    <row r="533" spans="1:8" x14ac:dyDescent="0.25">
      <c r="A533" s="2" t="str">
        <f>"CLOCK120-10WW6"</f>
        <v>CLOCK120-10WW6</v>
      </c>
      <c r="B533" s="2" t="str">
        <f>"4664AN3K CLOCK Outdoor Strahler, LED 10W, 40°, 3000K, Ø 120 mm, anthrazit"</f>
        <v>4664AN3K CLOCK Outdoor Strahler, LED 10W, 40°, 3000K, Ø 120 mm, anthrazit</v>
      </c>
      <c r="C533" s="16">
        <v>252.5</v>
      </c>
      <c r="D533" s="11">
        <v>311</v>
      </c>
      <c r="E533" s="7">
        <f t="shared" si="24"/>
        <v>1</v>
      </c>
      <c r="F533" s="22" t="str">
        <f>IF(ISERROR(VLOOKUP($A533,#REF!,3,0)),"x",VLOOKUP($A533,#REF!,3,FALSE))</f>
        <v>x</v>
      </c>
      <c r="G533" s="9">
        <f t="shared" si="25"/>
        <v>1</v>
      </c>
      <c r="H533" s="13">
        <f t="shared" si="26"/>
        <v>252.5</v>
      </c>
    </row>
    <row r="534" spans="1:8" x14ac:dyDescent="0.25">
      <c r="A534" s="2" t="str">
        <f>"CLOCK120-10WW7"</f>
        <v>CLOCK120-10WW7</v>
      </c>
      <c r="B534" s="2" t="str">
        <f>"4664GM3K CLOCK Outdoor Strahler, LED 10W, 40°, 3000K, Ø 120 mm, aluminiumgrau"</f>
        <v>4664GM3K CLOCK Outdoor Strahler, LED 10W, 40°, 3000K, Ø 120 mm, aluminiumgrau</v>
      </c>
      <c r="C534" s="16">
        <v>252.5</v>
      </c>
      <c r="D534" s="11">
        <v>311</v>
      </c>
      <c r="E534" s="7">
        <f t="shared" si="24"/>
        <v>1</v>
      </c>
      <c r="F534" s="22" t="str">
        <f>IF(ISERROR(VLOOKUP($A534,#REF!,3,0)),"x",VLOOKUP($A534,#REF!,3,FALSE))</f>
        <v>x</v>
      </c>
      <c r="G534" s="9">
        <f t="shared" si="25"/>
        <v>1</v>
      </c>
      <c r="H534" s="13">
        <f t="shared" si="26"/>
        <v>252.5</v>
      </c>
    </row>
    <row r="535" spans="1:8" x14ac:dyDescent="0.25">
      <c r="A535" s="2" t="str">
        <f>"CLOCK120-25RGBW6"</f>
        <v>CLOCK120-25RGBW6</v>
      </c>
      <c r="B535" s="2" t="str">
        <f>"1187AN CLOCK Outdoor RGBW Strahler, LED 25W, 30°, 6500K, Ø 120 mm, anthrazit"</f>
        <v>1187AN CLOCK Outdoor RGBW Strahler, LED 25W, 30°, 6500K, Ø 120 mm, anthrazit</v>
      </c>
      <c r="C535" s="16">
        <v>612.5</v>
      </c>
      <c r="D535" s="11">
        <v>313</v>
      </c>
      <c r="E535" s="7">
        <f t="shared" si="24"/>
        <v>1</v>
      </c>
      <c r="F535" s="22" t="str">
        <f>IF(ISERROR(VLOOKUP($A535,#REF!,3,0)),"x",VLOOKUP($A535,#REF!,3,FALSE))</f>
        <v>x</v>
      </c>
      <c r="G535" s="9">
        <f t="shared" si="25"/>
        <v>1</v>
      </c>
      <c r="H535" s="13">
        <f t="shared" si="26"/>
        <v>612.5</v>
      </c>
    </row>
    <row r="536" spans="1:8" x14ac:dyDescent="0.25">
      <c r="A536" s="2" t="str">
        <f>"CLOCK80-4NW6"</f>
        <v>CLOCK80-4NW6</v>
      </c>
      <c r="B536" s="2" t="str">
        <f>"4661AN4K CLOCK Outdoor Strahler, LED 4W, 40°, 4000K, Ø 80 mm, anthrazit "</f>
        <v xml:space="preserve">4661AN4K CLOCK Outdoor Strahler, LED 4W, 40°, 4000K, Ø 80 mm, anthrazit </v>
      </c>
      <c r="C536" s="16">
        <v>200</v>
      </c>
      <c r="D536" s="11">
        <v>311</v>
      </c>
      <c r="E536" s="7">
        <f t="shared" si="24"/>
        <v>1</v>
      </c>
      <c r="F536" s="22" t="str">
        <f>IF(ISERROR(VLOOKUP($A536,#REF!,3,0)),"x",VLOOKUP($A536,#REF!,3,FALSE))</f>
        <v>x</v>
      </c>
      <c r="G536" s="9">
        <f t="shared" si="25"/>
        <v>1</v>
      </c>
      <c r="H536" s="13">
        <f t="shared" si="26"/>
        <v>200</v>
      </c>
    </row>
    <row r="537" spans="1:8" x14ac:dyDescent="0.25">
      <c r="A537" s="2" t="str">
        <f>"CLOCK80-4NW7"</f>
        <v>CLOCK80-4NW7</v>
      </c>
      <c r="B537" s="2" t="str">
        <f>"4661AG4K CLOCK Outdoor Strahler, LED 4W, 40°, 4000K, Ø 80 mm, aluminiumgrau"</f>
        <v>4661AG4K CLOCK Outdoor Strahler, LED 4W, 40°, 4000K, Ø 80 mm, aluminiumgrau</v>
      </c>
      <c r="C537" s="16">
        <v>200</v>
      </c>
      <c r="D537" s="11">
        <v>311</v>
      </c>
      <c r="E537" s="7">
        <f t="shared" si="24"/>
        <v>1</v>
      </c>
      <c r="F537" s="22" t="str">
        <f>IF(ISERROR(VLOOKUP($A537,#REF!,3,0)),"x",VLOOKUP($A537,#REF!,3,FALSE))</f>
        <v>x</v>
      </c>
      <c r="G537" s="9">
        <f t="shared" si="25"/>
        <v>1</v>
      </c>
      <c r="H537" s="13">
        <f t="shared" si="26"/>
        <v>200</v>
      </c>
    </row>
    <row r="538" spans="1:8" x14ac:dyDescent="0.25">
      <c r="A538" s="2" t="str">
        <f>"CLOCK80-4WW6"</f>
        <v>CLOCK80-4WW6</v>
      </c>
      <c r="B538" s="2" t="str">
        <f>"4661AN3K CLOCK Outdoor Strahler, LED 4W, 40°, 3000K, Ø 80 mm, anthrazit"</f>
        <v>4661AN3K CLOCK Outdoor Strahler, LED 4W, 40°, 3000K, Ø 80 mm, anthrazit</v>
      </c>
      <c r="C538" s="16">
        <v>200</v>
      </c>
      <c r="D538" s="11">
        <v>311</v>
      </c>
      <c r="E538" s="7">
        <f t="shared" si="24"/>
        <v>1</v>
      </c>
      <c r="F538" s="22" t="str">
        <f>IF(ISERROR(VLOOKUP($A538,#REF!,3,0)),"x",VLOOKUP($A538,#REF!,3,FALSE))</f>
        <v>x</v>
      </c>
      <c r="G538" s="9">
        <f t="shared" si="25"/>
        <v>1</v>
      </c>
      <c r="H538" s="13">
        <f t="shared" si="26"/>
        <v>200</v>
      </c>
    </row>
    <row r="539" spans="1:8" x14ac:dyDescent="0.25">
      <c r="A539" s="2" t="str">
        <f>"CLOCK80-4WW7"</f>
        <v>CLOCK80-4WW7</v>
      </c>
      <c r="B539" s="2" t="str">
        <f>"4661AG3K CLOCK Outdoor Strahler, LED 4W, 40°, 3000K, Ø 80 mm, aluminiumgrau "</f>
        <v xml:space="preserve">4661AG3K CLOCK Outdoor Strahler, LED 4W, 40°, 3000K, Ø 80 mm, aluminiumgrau </v>
      </c>
      <c r="C539" s="16">
        <v>200</v>
      </c>
      <c r="D539" s="11">
        <v>311</v>
      </c>
      <c r="E539" s="7">
        <f t="shared" si="24"/>
        <v>1</v>
      </c>
      <c r="F539" s="22" t="str">
        <f>IF(ISERROR(VLOOKUP($A539,#REF!,3,0)),"x",VLOOKUP($A539,#REF!,3,FALSE))</f>
        <v>x</v>
      </c>
      <c r="G539" s="9">
        <f t="shared" si="25"/>
        <v>1</v>
      </c>
      <c r="H539" s="13">
        <f t="shared" si="26"/>
        <v>200</v>
      </c>
    </row>
    <row r="540" spans="1:8" x14ac:dyDescent="0.25">
      <c r="A540" s="2" t="str">
        <f>"COL-7WW04L"</f>
        <v>COL-7WW04L</v>
      </c>
      <c r="B540" s="2" t="str">
        <f>"COLIN Pendelleuchte mit Baldachin, LED 7W, 3000K, L700mm, messing"</f>
        <v>COLIN Pendelleuchte mit Baldachin, LED 7W, 3000K, L700mm, messing</v>
      </c>
      <c r="C540" s="16">
        <v>197.5</v>
      </c>
      <c r="D540" s="11">
        <v>165</v>
      </c>
      <c r="E540" s="7">
        <f t="shared" si="24"/>
        <v>1</v>
      </c>
      <c r="F540" s="22" t="str">
        <f>IF(ISERROR(VLOOKUP($A540,#REF!,3,0)),"x",VLOOKUP($A540,#REF!,3,FALSE))</f>
        <v>x</v>
      </c>
      <c r="G540" s="9">
        <f t="shared" si="25"/>
        <v>1</v>
      </c>
      <c r="H540" s="13">
        <f t="shared" si="26"/>
        <v>197.5</v>
      </c>
    </row>
    <row r="541" spans="1:8" x14ac:dyDescent="0.25">
      <c r="A541" s="2" t="str">
        <f>"DDH-30NW11DD"</f>
        <v>DDH-30NW11DD</v>
      </c>
      <c r="B541" s="2" t="str">
        <f>"DDH Deckeneinlegeleuchte, 30W, 4000K, Modul 622, UGR&lt;19, weiß, DALI"</f>
        <v>DDH Deckeneinlegeleuchte, 30W, 4000K, Modul 622, UGR&lt;19, weiß, DALI</v>
      </c>
      <c r="C541" s="16">
        <v>200</v>
      </c>
      <c r="D541" s="11">
        <v>189</v>
      </c>
      <c r="E541" s="7">
        <f t="shared" si="24"/>
        <v>1</v>
      </c>
      <c r="F541" s="22" t="str">
        <f>IF(ISERROR(VLOOKUP($A541,#REF!,3,0)),"x",VLOOKUP($A541,#REF!,3,FALSE))</f>
        <v>x</v>
      </c>
      <c r="G541" s="9">
        <f t="shared" si="25"/>
        <v>1</v>
      </c>
      <c r="H541" s="13">
        <f t="shared" si="26"/>
        <v>200</v>
      </c>
    </row>
    <row r="542" spans="1:8" x14ac:dyDescent="0.25">
      <c r="A542" s="2" t="str">
        <f>"DDH-30NW11P"</f>
        <v>DDH-30NW11P</v>
      </c>
      <c r="B542" s="2" t="str">
        <f>"DDH Deckeneinlegeleuchte,  30W, 4000K, Modul 622, UGR&lt;19, weiß"</f>
        <v>DDH Deckeneinlegeleuchte,  30W, 4000K, Modul 622, UGR&lt;19, weiß</v>
      </c>
      <c r="C542" s="16">
        <v>100</v>
      </c>
      <c r="D542" s="11">
        <v>189</v>
      </c>
      <c r="E542" s="7">
        <f t="shared" si="24"/>
        <v>1</v>
      </c>
      <c r="F542" s="22" t="str">
        <f>IF(ISERROR(VLOOKUP($A542,#REF!,3,0)),"x",VLOOKUP($A542,#REF!,3,FALSE))</f>
        <v>x</v>
      </c>
      <c r="G542" s="9">
        <f t="shared" si="25"/>
        <v>1</v>
      </c>
      <c r="H542" s="13">
        <f t="shared" si="26"/>
        <v>100</v>
      </c>
    </row>
    <row r="543" spans="1:8" x14ac:dyDescent="0.25">
      <c r="A543" s="2" t="str">
        <f>"DDH-30WW11DD"</f>
        <v>DDH-30WW11DD</v>
      </c>
      <c r="B543" s="2" t="str">
        <f>"DDH Deckeneinlegeleuchte, 30W, 3000K, Modul 622, UGR&lt;19, weiß, DALI"</f>
        <v>DDH Deckeneinlegeleuchte, 30W, 3000K, Modul 622, UGR&lt;19, weiß, DALI</v>
      </c>
      <c r="C543" s="16">
        <v>200</v>
      </c>
      <c r="D543" s="11">
        <v>189</v>
      </c>
      <c r="E543" s="7">
        <f t="shared" si="24"/>
        <v>1</v>
      </c>
      <c r="F543" s="22" t="str">
        <f>IF(ISERROR(VLOOKUP($A543,#REF!,3,0)),"x",VLOOKUP($A543,#REF!,3,FALSE))</f>
        <v>x</v>
      </c>
      <c r="G543" s="9">
        <f t="shared" si="25"/>
        <v>1</v>
      </c>
      <c r="H543" s="13">
        <f t="shared" si="26"/>
        <v>200</v>
      </c>
    </row>
    <row r="544" spans="1:8" x14ac:dyDescent="0.25">
      <c r="A544" s="2" t="str">
        <f>"DDH-30WW11P"</f>
        <v>DDH-30WW11P</v>
      </c>
      <c r="B544" s="2" t="str">
        <f>"DDH Deckeneinlegeleuchte, 30W, 3000K, Modul 622, UGR&lt;19, weiß"</f>
        <v>DDH Deckeneinlegeleuchte, 30W, 3000K, Modul 622, UGR&lt;19, weiß</v>
      </c>
      <c r="C544" s="16">
        <v>100</v>
      </c>
      <c r="D544" s="11">
        <v>189</v>
      </c>
      <c r="E544" s="7">
        <f t="shared" si="24"/>
        <v>1</v>
      </c>
      <c r="F544" s="22" t="str">
        <f>IF(ISERROR(VLOOKUP($A544,#REF!,3,0)),"x",VLOOKUP($A544,#REF!,3,FALSE))</f>
        <v>x</v>
      </c>
      <c r="G544" s="9">
        <f t="shared" si="25"/>
        <v>1</v>
      </c>
      <c r="H544" s="13">
        <f t="shared" si="26"/>
        <v>100</v>
      </c>
    </row>
    <row r="545" spans="1:8" x14ac:dyDescent="0.25">
      <c r="A545" s="2" t="str">
        <f>"DDH-30WWCW11"</f>
        <v>DDH-30WWCW11</v>
      </c>
      <c r="B545" s="2" t="str">
        <f>"DDH Deckeneinlegeleuchte, 30W, 3000-5000K, Modul 622, UGR&lt;19, weiss"</f>
        <v>DDH Deckeneinlegeleuchte, 30W, 3000-5000K, Modul 622, UGR&lt;19, weiss</v>
      </c>
      <c r="C545" s="16">
        <v>110</v>
      </c>
      <c r="D545" s="11">
        <v>189</v>
      </c>
      <c r="E545" s="7">
        <f t="shared" si="24"/>
        <v>1</v>
      </c>
      <c r="F545" s="22" t="str">
        <f>IF(ISERROR(VLOOKUP($A545,#REF!,3,0)),"x",VLOOKUP($A545,#REF!,3,FALSE))</f>
        <v>x</v>
      </c>
      <c r="G545" s="9">
        <f t="shared" si="25"/>
        <v>1</v>
      </c>
      <c r="H545" s="13">
        <f t="shared" si="26"/>
        <v>110</v>
      </c>
    </row>
    <row r="546" spans="1:8" x14ac:dyDescent="0.25">
      <c r="A546" s="2" t="str">
        <f>"DDH-30WWCW11DD"</f>
        <v>DDH-30WWCW11DD</v>
      </c>
      <c r="B546" s="2" t="str">
        <f>"DDH Deckeneinlegeleuchte, 30W, 3000-5000K, Modul 622, UGR&lt;19, DALI, weiß"</f>
        <v>DDH Deckeneinlegeleuchte, 30W, 3000-5000K, Modul 622, UGR&lt;19, DALI, weiß</v>
      </c>
      <c r="C546" s="16">
        <v>190</v>
      </c>
      <c r="D546" s="11">
        <v>189</v>
      </c>
      <c r="E546" s="7">
        <f t="shared" si="24"/>
        <v>1</v>
      </c>
      <c r="F546" s="22" t="str">
        <f>IF(ISERROR(VLOOKUP($A546,#REF!,3,0)),"x",VLOOKUP($A546,#REF!,3,FALSE))</f>
        <v>x</v>
      </c>
      <c r="G546" s="9">
        <f t="shared" si="25"/>
        <v>1</v>
      </c>
      <c r="H546" s="13">
        <f t="shared" si="26"/>
        <v>190</v>
      </c>
    </row>
    <row r="547" spans="1:8" x14ac:dyDescent="0.25">
      <c r="A547" s="2" t="str">
        <f>"DDH-FB"</f>
        <v>DDH-FB</v>
      </c>
      <c r="B547" s="2" t="str">
        <f>"Fernbedienung für DDH tunable white"</f>
        <v>Fernbedienung für DDH tunable white</v>
      </c>
      <c r="C547" s="16">
        <v>10</v>
      </c>
      <c r="D547" s="11">
        <v>189</v>
      </c>
      <c r="E547" s="7">
        <f t="shared" si="24"/>
        <v>1</v>
      </c>
      <c r="F547" s="22" t="str">
        <f>IF(ISERROR(VLOOKUP($A547,#REF!,3,0)),"x",VLOOKUP($A547,#REF!,3,FALSE))</f>
        <v>x</v>
      </c>
      <c r="G547" s="9">
        <f t="shared" si="25"/>
        <v>1</v>
      </c>
      <c r="H547" s="13">
        <f t="shared" si="26"/>
        <v>10</v>
      </c>
    </row>
    <row r="548" spans="1:8" x14ac:dyDescent="0.25">
      <c r="A548" s="2" t="str">
        <f>"DDH4-40NW11P"</f>
        <v>DDH4-40NW11P</v>
      </c>
      <c r="B548" s="2" t="str">
        <f>"DDH Deckeneinlegeleuchte, 40W, 4000K, Modul 1200x300mm, UGR&lt;19, weiß"</f>
        <v>DDH Deckeneinlegeleuchte, 40W, 4000K, Modul 1200x300mm, UGR&lt;19, weiß</v>
      </c>
      <c r="C548" s="16">
        <v>109.5</v>
      </c>
      <c r="D548" s="11">
        <v>193</v>
      </c>
      <c r="E548" s="7">
        <f t="shared" si="24"/>
        <v>1</v>
      </c>
      <c r="F548" s="22" t="str">
        <f>IF(ISERROR(VLOOKUP($A548,#REF!,3,0)),"x",VLOOKUP($A548,#REF!,3,FALSE))</f>
        <v>x</v>
      </c>
      <c r="G548" s="9">
        <f t="shared" si="25"/>
        <v>1</v>
      </c>
      <c r="H548" s="13">
        <f t="shared" si="26"/>
        <v>109.5</v>
      </c>
    </row>
    <row r="549" spans="1:8" x14ac:dyDescent="0.25">
      <c r="A549" s="2" t="str">
        <f>"DDH4-40NW11P-DD"</f>
        <v>DDH4-40NW11P-DD</v>
      </c>
      <c r="B549" s="2" t="str">
        <f>"DDH Deckeneinlegeleuchte, 40W, 4000K, Modul 1200x300mm, UGR&lt;19, weiß"</f>
        <v>DDH Deckeneinlegeleuchte, 40W, 4000K, Modul 1200x300mm, UGR&lt;19, weiß</v>
      </c>
      <c r="C549" s="16">
        <v>212.5</v>
      </c>
      <c r="D549" s="11">
        <v>193</v>
      </c>
      <c r="E549" s="7">
        <f t="shared" si="24"/>
        <v>1</v>
      </c>
      <c r="F549" s="22" t="str">
        <f>IF(ISERROR(VLOOKUP($A549,#REF!,3,0)),"x",VLOOKUP($A549,#REF!,3,FALSE))</f>
        <v>x</v>
      </c>
      <c r="G549" s="9">
        <f t="shared" si="25"/>
        <v>1</v>
      </c>
      <c r="H549" s="13">
        <f t="shared" si="26"/>
        <v>212.5</v>
      </c>
    </row>
    <row r="550" spans="1:8" x14ac:dyDescent="0.25">
      <c r="A550" s="2" t="str">
        <f>"DDH4-40WW11P"</f>
        <v>DDH4-40WW11P</v>
      </c>
      <c r="B550" s="2" t="str">
        <f>"DDH Deckeneinlegeleuchte, 40W, 3000K, Modul 1200x300mm, UGR&lt;19, weiß"</f>
        <v>DDH Deckeneinlegeleuchte, 40W, 3000K, Modul 1200x300mm, UGR&lt;19, weiß</v>
      </c>
      <c r="C550" s="16">
        <v>110</v>
      </c>
      <c r="D550" s="11">
        <v>193</v>
      </c>
      <c r="E550" s="7">
        <f t="shared" si="24"/>
        <v>1</v>
      </c>
      <c r="F550" s="22" t="str">
        <f>IF(ISERROR(VLOOKUP($A550,#REF!,3,0)),"x",VLOOKUP($A550,#REF!,3,FALSE))</f>
        <v>x</v>
      </c>
      <c r="G550" s="9">
        <f t="shared" si="25"/>
        <v>1</v>
      </c>
      <c r="H550" s="13">
        <f t="shared" si="26"/>
        <v>110</v>
      </c>
    </row>
    <row r="551" spans="1:8" x14ac:dyDescent="0.25">
      <c r="A551" s="2" t="str">
        <f>"DDH4-40WW11P-DD"</f>
        <v>DDH4-40WW11P-DD</v>
      </c>
      <c r="B551" s="2" t="str">
        <f>"DDH Deckeneinlegeleuchte, 40W, 3000K, Modul 1200x300mm, UGR&lt;19, weiß"</f>
        <v>DDH Deckeneinlegeleuchte, 40W, 3000K, Modul 1200x300mm, UGR&lt;19, weiß</v>
      </c>
      <c r="C551" s="16">
        <v>212.5</v>
      </c>
      <c r="D551" s="11">
        <v>193</v>
      </c>
      <c r="E551" s="7">
        <f t="shared" si="24"/>
        <v>1</v>
      </c>
      <c r="F551" s="22" t="str">
        <f>IF(ISERROR(VLOOKUP($A551,#REF!,3,0)),"x",VLOOKUP($A551,#REF!,3,FALSE))</f>
        <v>x</v>
      </c>
      <c r="G551" s="9">
        <f t="shared" si="25"/>
        <v>1</v>
      </c>
      <c r="H551" s="13">
        <f t="shared" si="26"/>
        <v>212.5</v>
      </c>
    </row>
    <row r="552" spans="1:8" x14ac:dyDescent="0.25">
      <c r="A552" s="2" t="str">
        <f>"DDHR-40NW31P"</f>
        <v>DDHR-40NW31P</v>
      </c>
      <c r="B552" s="2" t="str">
        <f>"DDHR, Pendelleuchte, 42W, 4000K, Durchm. 600mm, UGR&lt;19, weiß"</f>
        <v>DDHR, Pendelleuchte, 42W, 4000K, Durchm. 600mm, UGR&lt;19, weiß</v>
      </c>
      <c r="C552" s="16">
        <v>225</v>
      </c>
      <c r="D552" s="11">
        <v>177</v>
      </c>
      <c r="E552" s="7">
        <f t="shared" si="24"/>
        <v>1</v>
      </c>
      <c r="F552" s="22" t="str">
        <f>IF(ISERROR(VLOOKUP($A552,#REF!,3,0)),"x",VLOOKUP($A552,#REF!,3,FALSE))</f>
        <v>x</v>
      </c>
      <c r="G552" s="9">
        <f t="shared" si="25"/>
        <v>1</v>
      </c>
      <c r="H552" s="13">
        <f t="shared" si="26"/>
        <v>225</v>
      </c>
    </row>
    <row r="553" spans="1:8" x14ac:dyDescent="0.25">
      <c r="A553" s="2" t="str">
        <f>"DDHR-40NW31P-DD"</f>
        <v>DDHR-40NW31P-DD</v>
      </c>
      <c r="B553" s="2" t="str">
        <f>"DDHR, Pendelleuchte, 42W, 4000K, Durchm. 600mm, UGR&lt;19, weiss, DALI"</f>
        <v>DDHR, Pendelleuchte, 42W, 4000K, Durchm. 600mm, UGR&lt;19, weiss, DALI</v>
      </c>
      <c r="C553" s="16">
        <v>297.5</v>
      </c>
      <c r="D553" s="11">
        <v>177</v>
      </c>
      <c r="E553" s="7">
        <f t="shared" si="24"/>
        <v>1</v>
      </c>
      <c r="F553" s="22" t="str">
        <f>IF(ISERROR(VLOOKUP($A553,#REF!,3,0)),"x",VLOOKUP($A553,#REF!,3,FALSE))</f>
        <v>x</v>
      </c>
      <c r="G553" s="9">
        <f t="shared" si="25"/>
        <v>1</v>
      </c>
      <c r="H553" s="13">
        <f t="shared" si="26"/>
        <v>297.5</v>
      </c>
    </row>
    <row r="554" spans="1:8" x14ac:dyDescent="0.25">
      <c r="A554" s="2" t="str">
        <f>"DDHR-40WW31P"</f>
        <v>DDHR-40WW31P</v>
      </c>
      <c r="B554" s="2" t="str">
        <f>"DDHR, Pendelleuchte, 42W, 3000K, Durchm. 600mm, UGR&lt;19, weiss"</f>
        <v>DDHR, Pendelleuchte, 42W, 3000K, Durchm. 600mm, UGR&lt;19, weiss</v>
      </c>
      <c r="C554" s="16">
        <v>225</v>
      </c>
      <c r="D554" s="11">
        <v>177</v>
      </c>
      <c r="E554" s="7">
        <f t="shared" si="24"/>
        <v>1</v>
      </c>
      <c r="F554" s="22" t="str">
        <f>IF(ISERROR(VLOOKUP($A554,#REF!,3,0)),"x",VLOOKUP($A554,#REF!,3,FALSE))</f>
        <v>x</v>
      </c>
      <c r="G554" s="9">
        <f t="shared" si="25"/>
        <v>1</v>
      </c>
      <c r="H554" s="13">
        <f t="shared" si="26"/>
        <v>225</v>
      </c>
    </row>
    <row r="555" spans="1:8" x14ac:dyDescent="0.25">
      <c r="A555" s="2" t="str">
        <f>"DDHR-40WW31P-DD"</f>
        <v>DDHR-40WW31P-DD</v>
      </c>
      <c r="B555" s="2" t="str">
        <f>"DDHR, Pendelleuchte, 42W, 3000K, Durchm. 600mm, UGR&lt;19, weiss, DALI"</f>
        <v>DDHR, Pendelleuchte, 42W, 3000K, Durchm. 600mm, UGR&lt;19, weiss, DALI</v>
      </c>
      <c r="C555" s="16">
        <v>297.5</v>
      </c>
      <c r="D555" s="11">
        <v>177</v>
      </c>
      <c r="E555" s="7">
        <f t="shared" si="24"/>
        <v>1</v>
      </c>
      <c r="F555" s="22" t="str">
        <f>IF(ISERROR(VLOOKUP($A555,#REF!,3,0)),"x",VLOOKUP($A555,#REF!,3,FALSE))</f>
        <v>x</v>
      </c>
      <c r="G555" s="9">
        <f t="shared" si="25"/>
        <v>1</v>
      </c>
      <c r="H555" s="13">
        <f t="shared" si="26"/>
        <v>297.5</v>
      </c>
    </row>
    <row r="556" spans="1:8" x14ac:dyDescent="0.25">
      <c r="A556" s="2" t="str">
        <f>"DIL-13NW1-K"</f>
        <v>DIL-13NW1-K</v>
      </c>
      <c r="B556" s="2" t="str">
        <f>"DIL LED Modul, 15W, 4000K, 350mA, weiss"</f>
        <v>DIL LED Modul, 15W, 4000K, 350mA, weiss</v>
      </c>
      <c r="C556" s="16">
        <v>65</v>
      </c>
      <c r="D556" s="11">
        <v>119</v>
      </c>
      <c r="E556" s="7">
        <f t="shared" si="24"/>
        <v>1</v>
      </c>
      <c r="F556" s="22" t="str">
        <f>IF(ISERROR(VLOOKUP($A556,#REF!,3,0)),"x",VLOOKUP($A556,#REF!,3,FALSE))</f>
        <v>x</v>
      </c>
      <c r="G556" s="9">
        <f t="shared" si="25"/>
        <v>1</v>
      </c>
      <c r="H556" s="13">
        <f t="shared" si="26"/>
        <v>65</v>
      </c>
    </row>
    <row r="557" spans="1:8" x14ac:dyDescent="0.25">
      <c r="A557" s="2" t="str">
        <f>"DIL-13SW1-K"</f>
        <v>DIL-13SW1-K</v>
      </c>
      <c r="B557" s="2" t="str">
        <f>"DIL LED Modul, 15W, 2700K, 350mA, weiß"</f>
        <v>DIL LED Modul, 15W, 2700K, 350mA, weiß</v>
      </c>
      <c r="C557" s="16">
        <v>65</v>
      </c>
      <c r="D557" s="11">
        <v>119</v>
      </c>
      <c r="E557" s="7">
        <f t="shared" si="24"/>
        <v>1</v>
      </c>
      <c r="F557" s="22" t="str">
        <f>IF(ISERROR(VLOOKUP($A557,#REF!,3,0)),"x",VLOOKUP($A557,#REF!,3,FALSE))</f>
        <v>x</v>
      </c>
      <c r="G557" s="9">
        <f t="shared" si="25"/>
        <v>1</v>
      </c>
      <c r="H557" s="13">
        <f t="shared" si="26"/>
        <v>65</v>
      </c>
    </row>
    <row r="558" spans="1:8" x14ac:dyDescent="0.25">
      <c r="A558" s="2" t="str">
        <f>"DIL-13WW1-K"</f>
        <v>DIL-13WW1-K</v>
      </c>
      <c r="B558" s="2" t="str">
        <f>"DIL LED Modul, 15W, 3000K, 350mA, weiß"</f>
        <v>DIL LED Modul, 15W, 3000K, 350mA, weiß</v>
      </c>
      <c r="C558" s="16">
        <v>65</v>
      </c>
      <c r="D558" s="11">
        <v>119</v>
      </c>
      <c r="E558" s="7">
        <f t="shared" si="24"/>
        <v>1</v>
      </c>
      <c r="F558" s="22" t="str">
        <f>IF(ISERROR(VLOOKUP($A558,#REF!,3,0)),"x",VLOOKUP($A558,#REF!,3,FALSE))</f>
        <v>x</v>
      </c>
      <c r="G558" s="9">
        <f t="shared" si="25"/>
        <v>1</v>
      </c>
      <c r="H558" s="13">
        <f t="shared" si="26"/>
        <v>65</v>
      </c>
    </row>
    <row r="559" spans="1:8" x14ac:dyDescent="0.25">
      <c r="A559" s="2" t="str">
        <f>"DIL-7NW1-K"</f>
        <v>DIL-7NW1-K</v>
      </c>
      <c r="B559" s="2" t="str">
        <f>"DIL LED Modul 7W, 4000K, 700mA, weiss"</f>
        <v>DIL LED Modul 7W, 4000K, 700mA, weiss</v>
      </c>
      <c r="C559" s="16">
        <v>47</v>
      </c>
      <c r="D559" s="11">
        <v>119</v>
      </c>
      <c r="E559" s="7">
        <f t="shared" si="24"/>
        <v>1</v>
      </c>
      <c r="F559" s="22" t="str">
        <f>IF(ISERROR(VLOOKUP($A559,#REF!,3,0)),"x",VLOOKUP($A559,#REF!,3,FALSE))</f>
        <v>x</v>
      </c>
      <c r="G559" s="9">
        <f t="shared" si="25"/>
        <v>1</v>
      </c>
      <c r="H559" s="13">
        <f t="shared" si="26"/>
        <v>47</v>
      </c>
    </row>
    <row r="560" spans="1:8" x14ac:dyDescent="0.25">
      <c r="A560" s="2" t="str">
        <f>"DIL-7SW1-K"</f>
        <v>DIL-7SW1-K</v>
      </c>
      <c r="B560" s="2" t="str">
        <f>"DIL LED Modul 7W, 2700K, 700mA, weiss"</f>
        <v>DIL LED Modul 7W, 2700K, 700mA, weiss</v>
      </c>
      <c r="C560" s="16">
        <v>47</v>
      </c>
      <c r="D560" s="11">
        <v>119</v>
      </c>
      <c r="E560" s="7">
        <f t="shared" si="24"/>
        <v>1</v>
      </c>
      <c r="F560" s="22" t="str">
        <f>IF(ISERROR(VLOOKUP($A560,#REF!,3,0)),"x",VLOOKUP($A560,#REF!,3,FALSE))</f>
        <v>x</v>
      </c>
      <c r="G560" s="9">
        <f t="shared" si="25"/>
        <v>1</v>
      </c>
      <c r="H560" s="13">
        <f t="shared" si="26"/>
        <v>47</v>
      </c>
    </row>
    <row r="561" spans="1:8" x14ac:dyDescent="0.25">
      <c r="A561" s="2" t="str">
        <f>"DIL-7WW1-K"</f>
        <v>DIL-7WW1-K</v>
      </c>
      <c r="B561" s="2" t="str">
        <f>"DIL LED Modul 7W, 3000K, 700mA, weiss"</f>
        <v>DIL LED Modul 7W, 3000K, 700mA, weiss</v>
      </c>
      <c r="C561" s="16">
        <v>47</v>
      </c>
      <c r="D561" s="11">
        <v>119</v>
      </c>
      <c r="E561" s="7">
        <f t="shared" si="24"/>
        <v>1</v>
      </c>
      <c r="F561" s="22" t="str">
        <f>IF(ISERROR(VLOOKUP($A561,#REF!,3,0)),"x",VLOOKUP($A561,#REF!,3,FALSE))</f>
        <v>x</v>
      </c>
      <c r="G561" s="9">
        <f t="shared" si="25"/>
        <v>1</v>
      </c>
      <c r="H561" s="13">
        <f t="shared" si="26"/>
        <v>47</v>
      </c>
    </row>
    <row r="562" spans="1:8" x14ac:dyDescent="0.25">
      <c r="A562" s="2" t="str">
        <f>"DIL-8NW6"</f>
        <v>DIL-8NW6</v>
      </c>
      <c r="B562" s="2" t="str">
        <f>"DIL LED Modul, rund, COB LED 8W, 4000K, weiss"</f>
        <v>DIL LED Modul, rund, COB LED 8W, 4000K, weiss</v>
      </c>
      <c r="C562" s="16">
        <v>25</v>
      </c>
      <c r="D562" s="11">
        <v>119</v>
      </c>
      <c r="E562" s="7">
        <f t="shared" si="24"/>
        <v>1</v>
      </c>
      <c r="F562" s="22" t="str">
        <f>IF(ISERROR(VLOOKUP($A562,#REF!,3,0)),"x",VLOOKUP($A562,#REF!,3,FALSE))</f>
        <v>x</v>
      </c>
      <c r="G562" s="9">
        <f t="shared" si="25"/>
        <v>1</v>
      </c>
      <c r="H562" s="13">
        <f t="shared" si="26"/>
        <v>25</v>
      </c>
    </row>
    <row r="563" spans="1:8" x14ac:dyDescent="0.25">
      <c r="A563" s="2" t="str">
        <f>"DIL-8SW6"</f>
        <v>DIL-8SW6</v>
      </c>
      <c r="B563" s="2" t="str">
        <f>"DIL LED Modul, rund, COB LED 8W, 2700K, weiss"</f>
        <v>DIL LED Modul, rund, COB LED 8W, 2700K, weiss</v>
      </c>
      <c r="C563" s="16">
        <v>25</v>
      </c>
      <c r="D563" s="11">
        <v>119</v>
      </c>
      <c r="E563" s="7">
        <f t="shared" si="24"/>
        <v>1</v>
      </c>
      <c r="F563" s="22" t="str">
        <f>IF(ISERROR(VLOOKUP($A563,#REF!,3,0)),"x",VLOOKUP($A563,#REF!,3,FALSE))</f>
        <v>x</v>
      </c>
      <c r="G563" s="9">
        <f t="shared" si="25"/>
        <v>1</v>
      </c>
      <c r="H563" s="13">
        <f t="shared" si="26"/>
        <v>25</v>
      </c>
    </row>
    <row r="564" spans="1:8" x14ac:dyDescent="0.25">
      <c r="A564" s="2" t="str">
        <f>"DIL-8WW6"</f>
        <v>DIL-8WW6</v>
      </c>
      <c r="B564" s="2" t="str">
        <f>"DIL LED Modul, rund, COB LED 8W, 3000K"</f>
        <v>DIL LED Modul, rund, COB LED 8W, 3000K</v>
      </c>
      <c r="C564" s="16">
        <v>25</v>
      </c>
      <c r="D564" s="11">
        <v>119</v>
      </c>
      <c r="E564" s="7">
        <f t="shared" si="24"/>
        <v>1</v>
      </c>
      <c r="F564" s="22" t="str">
        <f>IF(ISERROR(VLOOKUP($A564,#REF!,3,0)),"x",VLOOKUP($A564,#REF!,3,FALSE))</f>
        <v>x</v>
      </c>
      <c r="G564" s="9">
        <f t="shared" si="25"/>
        <v>1</v>
      </c>
      <c r="H564" s="13">
        <f t="shared" si="26"/>
        <v>25</v>
      </c>
    </row>
    <row r="565" spans="1:8" x14ac:dyDescent="0.25">
      <c r="A565" s="2" t="str">
        <f>"DIL-ADA01"</f>
        <v>DIL-ADA01</v>
      </c>
      <c r="B565" s="2" t="str">
        <f>"DIL Aufsatz Adapter zu DIL LED Modul, Innenring schwenkbar, weiss "</f>
        <v xml:space="preserve">DIL Aufsatz Adapter zu DIL LED Modul, Innenring schwenkbar, weiss </v>
      </c>
      <c r="C565" s="16">
        <v>11.75</v>
      </c>
      <c r="D565" s="11">
        <v>121</v>
      </c>
      <c r="E565" s="7">
        <f t="shared" si="24"/>
        <v>1</v>
      </c>
      <c r="F565" s="22" t="str">
        <f>IF(ISERROR(VLOOKUP($A565,#REF!,3,0)),"x",VLOOKUP($A565,#REF!,3,FALSE))</f>
        <v>x</v>
      </c>
      <c r="G565" s="9">
        <f t="shared" si="25"/>
        <v>1</v>
      </c>
      <c r="H565" s="13">
        <f t="shared" si="26"/>
        <v>11.75</v>
      </c>
    </row>
    <row r="566" spans="1:8" x14ac:dyDescent="0.25">
      <c r="A566" s="2" t="str">
        <f>"DIL-AU1"</f>
        <v>DIL-AU1</v>
      </c>
      <c r="B566" s="2" t="str">
        <f>"DIL Aufsatz rund zu DIL LED Modul 7W und 13W, Innenring schwenkbar, weiss"</f>
        <v>DIL Aufsatz rund zu DIL LED Modul 7W und 13W, Innenring schwenkbar, weiss</v>
      </c>
      <c r="C566" s="16">
        <v>19.75</v>
      </c>
      <c r="D566" s="11">
        <v>120</v>
      </c>
      <c r="E566" s="7">
        <f t="shared" si="24"/>
        <v>1</v>
      </c>
      <c r="F566" s="22" t="str">
        <f>IF(ISERROR(VLOOKUP($A566,#REF!,3,0)),"x",VLOOKUP($A566,#REF!,3,FALSE))</f>
        <v>x</v>
      </c>
      <c r="G566" s="9">
        <f t="shared" si="25"/>
        <v>1</v>
      </c>
      <c r="H566" s="13">
        <f t="shared" si="26"/>
        <v>19.75</v>
      </c>
    </row>
    <row r="567" spans="1:8" x14ac:dyDescent="0.25">
      <c r="A567" s="2" t="str">
        <f>"DIL-AU10-2"</f>
        <v>DIL-AU10-2</v>
      </c>
      <c r="B567" s="2" t="str">
        <f>"DIL Hoher Aufsatz rund zu DIL LED Modul 7W und 13W, schwarz"</f>
        <v>DIL Hoher Aufsatz rund zu DIL LED Modul 7W und 13W, schwarz</v>
      </c>
      <c r="C567" s="16">
        <v>17.5</v>
      </c>
      <c r="D567" s="11">
        <v>120</v>
      </c>
      <c r="E567" s="7">
        <f t="shared" si="24"/>
        <v>1</v>
      </c>
      <c r="F567" s="22" t="str">
        <f>IF(ISERROR(VLOOKUP($A567,#REF!,3,0)),"x",VLOOKUP($A567,#REF!,3,FALSE))</f>
        <v>x</v>
      </c>
      <c r="G567" s="9">
        <f t="shared" si="25"/>
        <v>1</v>
      </c>
      <c r="H567" s="13">
        <f t="shared" si="26"/>
        <v>17.5</v>
      </c>
    </row>
    <row r="568" spans="1:8" x14ac:dyDescent="0.25">
      <c r="A568" s="2" t="str">
        <f>"DIL-AU11"</f>
        <v>DIL-AU11</v>
      </c>
      <c r="B568" s="2" t="str">
        <f>"DIL Hoher Aufsatz rund, zu DIL LED Modul 7W, 8W u. 13W,  innen gold - außen weiß"</f>
        <v>DIL Hoher Aufsatz rund, zu DIL LED Modul 7W, 8W u. 13W,  innen gold - außen weiß</v>
      </c>
      <c r="C568" s="16">
        <v>17.5</v>
      </c>
      <c r="D568" s="11">
        <v>120</v>
      </c>
      <c r="E568" s="7">
        <f t="shared" si="24"/>
        <v>1</v>
      </c>
      <c r="F568" s="22" t="str">
        <f>IF(ISERROR(VLOOKUP($A568,#REF!,3,0)),"x",VLOOKUP($A568,#REF!,3,FALSE))</f>
        <v>x</v>
      </c>
      <c r="G568" s="9">
        <f t="shared" si="25"/>
        <v>1</v>
      </c>
      <c r="H568" s="13">
        <f t="shared" si="26"/>
        <v>17.5</v>
      </c>
    </row>
    <row r="569" spans="1:8" x14ac:dyDescent="0.25">
      <c r="A569" s="2" t="str">
        <f>"DIL-AU11-2"</f>
        <v>DIL-AU11-2</v>
      </c>
      <c r="B569" s="2" t="str">
        <f>"DIL, Hoher Aufsatz rund zu DIL LED Modul 7W,8W u.13W, innen gold - außen schwarz"</f>
        <v>DIL, Hoher Aufsatz rund zu DIL LED Modul 7W,8W u.13W, innen gold - außen schwarz</v>
      </c>
      <c r="C569" s="16">
        <v>17.5</v>
      </c>
      <c r="D569" s="11">
        <v>120</v>
      </c>
      <c r="E569" s="7">
        <f t="shared" si="24"/>
        <v>1</v>
      </c>
      <c r="F569" s="22" t="str">
        <f>IF(ISERROR(VLOOKUP($A569,#REF!,3,0)),"x",VLOOKUP($A569,#REF!,3,FALSE))</f>
        <v>x</v>
      </c>
      <c r="G569" s="9">
        <f t="shared" si="25"/>
        <v>1</v>
      </c>
      <c r="H569" s="13">
        <f t="shared" si="26"/>
        <v>17.5</v>
      </c>
    </row>
    <row r="570" spans="1:8" x14ac:dyDescent="0.25">
      <c r="A570" s="2" t="str">
        <f>"DIL-AU2"</f>
        <v>DIL-AU2</v>
      </c>
      <c r="B570" s="2" t="str">
        <f>"DIL Zurückversetzter Aufsatz rund zu DIL LED Modul 7W und 13W, weiss"</f>
        <v>DIL Zurückversetzter Aufsatz rund zu DIL LED Modul 7W und 13W, weiss</v>
      </c>
      <c r="C570" s="16">
        <v>20</v>
      </c>
      <c r="D570" s="11">
        <v>120</v>
      </c>
      <c r="E570" s="7">
        <f t="shared" si="24"/>
        <v>1</v>
      </c>
      <c r="F570" s="22" t="str">
        <f>IF(ISERROR(VLOOKUP($A570,#REF!,3,0)),"x",VLOOKUP($A570,#REF!,3,FALSE))</f>
        <v>x</v>
      </c>
      <c r="G570" s="9">
        <f t="shared" si="25"/>
        <v>1</v>
      </c>
      <c r="H570" s="13">
        <f t="shared" si="26"/>
        <v>20</v>
      </c>
    </row>
    <row r="571" spans="1:8" x14ac:dyDescent="0.25">
      <c r="A571" s="2" t="str">
        <f>"DIL-AU3"</f>
        <v>DIL-AU3</v>
      </c>
      <c r="B571" s="2" t="str">
        <f>"DIL Aufsatz rund zu DIL LED Modul 7W und 13W, Austrahlwinkel asymmetrisch, weis"</f>
        <v>DIL Aufsatz rund zu DIL LED Modul 7W und 13W, Austrahlwinkel asymmetrisch, weis</v>
      </c>
      <c r="C571" s="16">
        <v>20</v>
      </c>
      <c r="D571" s="11">
        <v>120</v>
      </c>
      <c r="E571" s="7">
        <f t="shared" si="24"/>
        <v>1</v>
      </c>
      <c r="F571" s="22" t="str">
        <f>IF(ISERROR(VLOOKUP($A571,#REF!,3,0)),"x",VLOOKUP($A571,#REF!,3,FALSE))</f>
        <v>x</v>
      </c>
      <c r="G571" s="9">
        <f t="shared" si="25"/>
        <v>1</v>
      </c>
      <c r="H571" s="13">
        <f t="shared" si="26"/>
        <v>20</v>
      </c>
    </row>
    <row r="572" spans="1:8" x14ac:dyDescent="0.25">
      <c r="A572" s="2" t="str">
        <f>"DIL-AU4"</f>
        <v>DIL-AU4</v>
      </c>
      <c r="B572" s="2" t="str">
        <f>"DIL Aufsatz rund zu DIL LED Modul 7W und 13W, weiss"</f>
        <v>DIL Aufsatz rund zu DIL LED Modul 7W und 13W, weiss</v>
      </c>
      <c r="C572" s="16">
        <v>12.5</v>
      </c>
      <c r="D572" s="11">
        <v>121</v>
      </c>
      <c r="E572" s="7">
        <f t="shared" si="24"/>
        <v>1</v>
      </c>
      <c r="F572" s="22" t="str">
        <f>IF(ISERROR(VLOOKUP($A572,#REF!,3,0)),"x",VLOOKUP($A572,#REF!,3,FALSE))</f>
        <v>x</v>
      </c>
      <c r="G572" s="9">
        <f t="shared" si="25"/>
        <v>1</v>
      </c>
      <c r="H572" s="13">
        <f t="shared" si="26"/>
        <v>12.5</v>
      </c>
    </row>
    <row r="573" spans="1:8" x14ac:dyDescent="0.25">
      <c r="A573" s="2" t="str">
        <f>"DIL-AU5"</f>
        <v>DIL-AU5</v>
      </c>
      <c r="B573" s="2" t="str">
        <f>"DIL Aufsatz eckig zu DIL LED Modul 7W und 13W, weiss"</f>
        <v>DIL Aufsatz eckig zu DIL LED Modul 7W und 13W, weiss</v>
      </c>
      <c r="C573" s="16">
        <v>15.75</v>
      </c>
      <c r="D573" s="11">
        <v>121</v>
      </c>
      <c r="E573" s="7">
        <f t="shared" si="24"/>
        <v>1</v>
      </c>
      <c r="F573" s="22" t="str">
        <f>IF(ISERROR(VLOOKUP($A573,#REF!,3,0)),"x",VLOOKUP($A573,#REF!,3,FALSE))</f>
        <v>x</v>
      </c>
      <c r="G573" s="9">
        <f t="shared" si="25"/>
        <v>1</v>
      </c>
      <c r="H573" s="13">
        <f t="shared" si="26"/>
        <v>15.75</v>
      </c>
    </row>
    <row r="574" spans="1:8" x14ac:dyDescent="0.25">
      <c r="A574" s="2" t="str">
        <f>"DIL-AU6"</f>
        <v>DIL-AU6</v>
      </c>
      <c r="B574" s="2" t="str">
        <f>"DIL Aufsatz rund für Einbau zu DIL LED Modul 7W und 13W, weiss"</f>
        <v>DIL Aufsatz rund für Einbau zu DIL LED Modul 7W und 13W, weiss</v>
      </c>
      <c r="C574" s="16">
        <v>12.5</v>
      </c>
      <c r="D574" s="11">
        <v>121</v>
      </c>
      <c r="E574" s="7">
        <f t="shared" si="24"/>
        <v>1</v>
      </c>
      <c r="F574" s="22" t="str">
        <f>IF(ISERROR(VLOOKUP($A574,#REF!,3,0)),"x",VLOOKUP($A574,#REF!,3,FALSE))</f>
        <v>x</v>
      </c>
      <c r="G574" s="9">
        <f t="shared" si="25"/>
        <v>1</v>
      </c>
      <c r="H574" s="13">
        <f t="shared" si="26"/>
        <v>12.5</v>
      </c>
    </row>
    <row r="575" spans="1:8" x14ac:dyDescent="0.25">
      <c r="A575" s="2" t="str">
        <f>"DIL-AU7"</f>
        <v>DIL-AU7</v>
      </c>
      <c r="B575" s="2" t="str">
        <f>"DIL Aufsatz eckig für Einbau zu DIL LED Modul 7W und 13W, weiss"</f>
        <v>DIL Aufsatz eckig für Einbau zu DIL LED Modul 7W und 13W, weiss</v>
      </c>
      <c r="C575" s="16">
        <v>15</v>
      </c>
      <c r="D575" s="11">
        <v>121</v>
      </c>
      <c r="E575" s="7">
        <f t="shared" si="24"/>
        <v>1</v>
      </c>
      <c r="F575" s="22" t="str">
        <f>IF(ISERROR(VLOOKUP($A575,#REF!,3,0)),"x",VLOOKUP($A575,#REF!,3,FALSE))</f>
        <v>x</v>
      </c>
      <c r="G575" s="9">
        <f t="shared" si="25"/>
        <v>1</v>
      </c>
      <c r="H575" s="13">
        <f t="shared" si="26"/>
        <v>15</v>
      </c>
    </row>
    <row r="576" spans="1:8" x14ac:dyDescent="0.25">
      <c r="A576" s="2" t="str">
        <f>"DIL-AU8"</f>
        <v>DIL-AU8</v>
      </c>
      <c r="B576" s="2" t="str">
        <f>"DIL Hoher Aufsatz eckig zu DIL LED Modul 7W und 13W, weiss"</f>
        <v>DIL Hoher Aufsatz eckig zu DIL LED Modul 7W und 13W, weiss</v>
      </c>
      <c r="C576" s="16">
        <v>15</v>
      </c>
      <c r="D576" s="11">
        <v>121</v>
      </c>
      <c r="E576" s="7">
        <f t="shared" si="24"/>
        <v>1</v>
      </c>
      <c r="F576" s="22" t="str">
        <f>IF(ISERROR(VLOOKUP($A576,#REF!,3,0)),"x",VLOOKUP($A576,#REF!,3,FALSE))</f>
        <v>x</v>
      </c>
      <c r="G576" s="9">
        <f t="shared" si="25"/>
        <v>1</v>
      </c>
      <c r="H576" s="13">
        <f t="shared" si="26"/>
        <v>15</v>
      </c>
    </row>
    <row r="577" spans="1:8" x14ac:dyDescent="0.25">
      <c r="A577" s="2" t="str">
        <f>"DIL-AU9"</f>
        <v>DIL-AU9</v>
      </c>
      <c r="B577" s="2" t="str">
        <f>"DIL Hoher Aufsatz rund zu DIL LED Modul 7W und 13W, weiss"</f>
        <v>DIL Hoher Aufsatz rund zu DIL LED Modul 7W und 13W, weiss</v>
      </c>
      <c r="C577" s="16">
        <v>14.5</v>
      </c>
      <c r="D577" s="11">
        <v>121</v>
      </c>
      <c r="E577" s="7">
        <f t="shared" si="24"/>
        <v>1</v>
      </c>
      <c r="F577" s="22" t="str">
        <f>IF(ISERROR(VLOOKUP($A577,#REF!,3,0)),"x",VLOOKUP($A577,#REF!,3,FALSE))</f>
        <v>x</v>
      </c>
      <c r="G577" s="9">
        <f t="shared" si="25"/>
        <v>1</v>
      </c>
      <c r="H577" s="13">
        <f t="shared" si="26"/>
        <v>14.5</v>
      </c>
    </row>
    <row r="578" spans="1:8" x14ac:dyDescent="0.25">
      <c r="A578" s="2" t="str">
        <f>"DIL-BS02"</f>
        <v>DIL-BS02</v>
      </c>
      <c r="B578" s="2" t="str">
        <f>"DIL Entblendungsring zu DIL LED Modul 7W und 13W, schwarz"</f>
        <v>DIL Entblendungsring zu DIL LED Modul 7W und 13W, schwarz</v>
      </c>
      <c r="C578" s="16">
        <v>4</v>
      </c>
      <c r="D578" s="11">
        <v>120</v>
      </c>
      <c r="E578" s="7">
        <f t="shared" si="24"/>
        <v>1</v>
      </c>
      <c r="F578" s="22" t="str">
        <f>IF(ISERROR(VLOOKUP($A578,#REF!,3,0)),"x",VLOOKUP($A578,#REF!,3,FALSE))</f>
        <v>x</v>
      </c>
      <c r="G578" s="9">
        <f t="shared" si="25"/>
        <v>1</v>
      </c>
      <c r="H578" s="13">
        <f t="shared" si="26"/>
        <v>4</v>
      </c>
    </row>
    <row r="579" spans="1:8" x14ac:dyDescent="0.25">
      <c r="A579" s="2" t="str">
        <f>"DIL-DTW-K"</f>
        <v>DIL-DTW-K</v>
      </c>
      <c r="B579" s="2" t="str">
        <f>"DIL dimm to warm LED Modul, 3000K bis 1800K, Bridgelux, mit Netzteil, 30°"</f>
        <v>DIL dimm to warm LED Modul, 3000K bis 1800K, Bridgelux, mit Netzteil, 30°</v>
      </c>
      <c r="C579" s="16">
        <v>65</v>
      </c>
      <c r="D579" s="11">
        <v>119</v>
      </c>
      <c r="E579" s="7">
        <f t="shared" si="24"/>
        <v>1</v>
      </c>
      <c r="F579" s="22" t="str">
        <f>IF(ISERROR(VLOOKUP($A579,#REF!,3,0)),"x",VLOOKUP($A579,#REF!,3,FALSE))</f>
        <v>x</v>
      </c>
      <c r="G579" s="9">
        <f t="shared" si="25"/>
        <v>1</v>
      </c>
      <c r="H579" s="13">
        <f t="shared" si="26"/>
        <v>65</v>
      </c>
    </row>
    <row r="580" spans="1:8" x14ac:dyDescent="0.25">
      <c r="A580" s="2" t="str">
        <f>"DIL-GL01"</f>
        <v>DIL-GL01</v>
      </c>
      <c r="B580" s="2" t="str">
        <f>"DIL Glasaufsatz zu DIL LED Modul  7W, 8W,13W, DTW, weiss"</f>
        <v>DIL Glasaufsatz zu DIL LED Modul  7W, 8W,13W, DTW, weiss</v>
      </c>
      <c r="C580" s="16">
        <v>17.5</v>
      </c>
      <c r="D580" s="11">
        <v>120</v>
      </c>
      <c r="E580" s="7">
        <f t="shared" ref="E580:E643" si="27">G580</f>
        <v>1</v>
      </c>
      <c r="F580" s="22" t="str">
        <f>IF(ISERROR(VLOOKUP($A580,#REF!,3,0)),"x",VLOOKUP($A580,#REF!,3,FALSE))</f>
        <v>x</v>
      </c>
      <c r="G580" s="9">
        <f t="shared" ref="G580:G643" si="28">IF(C580&lt;F580,1,IF(C580&gt;F580,-1,0))</f>
        <v>1</v>
      </c>
      <c r="H580" s="13">
        <f t="shared" si="26"/>
        <v>17.5</v>
      </c>
    </row>
    <row r="581" spans="1:8" x14ac:dyDescent="0.25">
      <c r="A581" s="2" t="str">
        <f>"DIL-GL02"</f>
        <v>DIL-GL02</v>
      </c>
      <c r="B581" s="2" t="str">
        <f>"DIL Glasaufsatz zu DIL LED Modul 7W, 8W,13W, DTW, schwarz"</f>
        <v>DIL Glasaufsatz zu DIL LED Modul 7W, 8W,13W, DTW, schwarz</v>
      </c>
      <c r="C581" s="16">
        <v>17.5</v>
      </c>
      <c r="D581" s="11">
        <v>120</v>
      </c>
      <c r="E581" s="7">
        <f t="shared" si="27"/>
        <v>1</v>
      </c>
      <c r="F581" s="22" t="str">
        <f>IF(ISERROR(VLOOKUP($A581,#REF!,3,0)),"x",VLOOKUP($A581,#REF!,3,FALSE))</f>
        <v>x</v>
      </c>
      <c r="G581" s="9">
        <f t="shared" si="28"/>
        <v>1</v>
      </c>
      <c r="H581" s="13">
        <f t="shared" si="26"/>
        <v>17.5</v>
      </c>
    </row>
    <row r="582" spans="1:8" x14ac:dyDescent="0.25">
      <c r="A582" s="2" t="str">
        <f>"DIL-R15"</f>
        <v>DIL-R15</v>
      </c>
      <c r="B582" s="2" t="str">
        <f>"DIL Reflektor 15° mit Frontscheibe zu DIL LED Modul 7W"</f>
        <v>DIL Reflektor 15° mit Frontscheibe zu DIL LED Modul 7W</v>
      </c>
      <c r="C582" s="16">
        <v>6.75</v>
      </c>
      <c r="D582" s="11">
        <v>120</v>
      </c>
      <c r="E582" s="7">
        <f t="shared" si="27"/>
        <v>1</v>
      </c>
      <c r="F582" s="22" t="str">
        <f>IF(ISERROR(VLOOKUP($A582,#REF!,3,0)),"x",VLOOKUP($A582,#REF!,3,FALSE))</f>
        <v>x</v>
      </c>
      <c r="G582" s="9">
        <f t="shared" si="28"/>
        <v>1</v>
      </c>
      <c r="H582" s="13">
        <f t="shared" ref="H582:H645" si="29">IF(F582="x",C582,F582)</f>
        <v>6.75</v>
      </c>
    </row>
    <row r="583" spans="1:8" x14ac:dyDescent="0.25">
      <c r="A583" s="2" t="str">
        <f>"DIL-R15B"</f>
        <v>DIL-R15B</v>
      </c>
      <c r="B583" s="2" t="str">
        <f>"DIL Reflektor 15° mit Frontscheibe zu DIL LED Modul 13W"</f>
        <v>DIL Reflektor 15° mit Frontscheibe zu DIL LED Modul 13W</v>
      </c>
      <c r="C583" s="16">
        <v>6.75</v>
      </c>
      <c r="D583" s="11">
        <v>120</v>
      </c>
      <c r="E583" s="7">
        <f t="shared" si="27"/>
        <v>1</v>
      </c>
      <c r="F583" s="22" t="str">
        <f>IF(ISERROR(VLOOKUP($A583,#REF!,3,0)),"x",VLOOKUP($A583,#REF!,3,FALSE))</f>
        <v>x</v>
      </c>
      <c r="G583" s="9">
        <f t="shared" si="28"/>
        <v>1</v>
      </c>
      <c r="H583" s="13">
        <f t="shared" si="29"/>
        <v>6.75</v>
      </c>
    </row>
    <row r="584" spans="1:8" x14ac:dyDescent="0.25">
      <c r="A584" s="2" t="str">
        <f>"DIV-15NW08"</f>
        <v>DIV-15NW08</v>
      </c>
      <c r="B584" s="2" t="str">
        <f>"DIVAR Wand, 15,4W, 32°, 1 Lichtaustritt, 4000K, IP65, Ibiza sand"</f>
        <v>DIVAR Wand, 15,4W, 32°, 1 Lichtaustritt, 4000K, IP65, Ibiza sand</v>
      </c>
      <c r="C584" s="16">
        <v>275</v>
      </c>
      <c r="D584" s="11">
        <v>265</v>
      </c>
      <c r="E584" s="7">
        <f t="shared" si="27"/>
        <v>1</v>
      </c>
      <c r="F584" s="22" t="str">
        <f>IF(ISERROR(VLOOKUP($A584,#REF!,3,0)),"x",VLOOKUP($A584,#REF!,3,FALSE))</f>
        <v>x</v>
      </c>
      <c r="G584" s="9">
        <f t="shared" si="28"/>
        <v>1</v>
      </c>
      <c r="H584" s="13">
        <f t="shared" si="29"/>
        <v>275</v>
      </c>
    </row>
    <row r="585" spans="1:8" x14ac:dyDescent="0.25">
      <c r="A585" s="2" t="str">
        <f>"DIV-15NW08F"</f>
        <v>DIV-15NW08F</v>
      </c>
      <c r="B585" s="2" t="str">
        <f>"DIVAR Wand, 15,4W, 65°, 1 Lichtaustritt, 4000K, IP65, Ibiza sand"</f>
        <v>DIVAR Wand, 15,4W, 65°, 1 Lichtaustritt, 4000K, IP65, Ibiza sand</v>
      </c>
      <c r="C585" s="16">
        <v>275</v>
      </c>
      <c r="D585" s="11">
        <v>265</v>
      </c>
      <c r="E585" s="7">
        <f t="shared" si="27"/>
        <v>1</v>
      </c>
      <c r="F585" s="22" t="str">
        <f>IF(ISERROR(VLOOKUP($A585,#REF!,3,0)),"x",VLOOKUP($A585,#REF!,3,FALSE))</f>
        <v>x</v>
      </c>
      <c r="G585" s="9">
        <f t="shared" si="28"/>
        <v>1</v>
      </c>
      <c r="H585" s="13">
        <f t="shared" si="29"/>
        <v>275</v>
      </c>
    </row>
    <row r="586" spans="1:8" x14ac:dyDescent="0.25">
      <c r="A586" s="2" t="str">
        <f>"DIV-15NW1"</f>
        <v>DIV-15NW1</v>
      </c>
      <c r="B586" s="2" t="str">
        <f>"DIVAR Wand, 15,4W, 32°, 1 Lichtaustritt, 4000K, IP65, weiß"</f>
        <v>DIVAR Wand, 15,4W, 32°, 1 Lichtaustritt, 4000K, IP65, weiß</v>
      </c>
      <c r="C586" s="16">
        <v>275</v>
      </c>
      <c r="D586" s="11">
        <v>265</v>
      </c>
      <c r="E586" s="7">
        <f t="shared" si="27"/>
        <v>1</v>
      </c>
      <c r="F586" s="22" t="str">
        <f>IF(ISERROR(VLOOKUP($A586,#REF!,3,0)),"x",VLOOKUP($A586,#REF!,3,FALSE))</f>
        <v>x</v>
      </c>
      <c r="G586" s="9">
        <f t="shared" si="28"/>
        <v>1</v>
      </c>
      <c r="H586" s="13">
        <f t="shared" si="29"/>
        <v>275</v>
      </c>
    </row>
    <row r="587" spans="1:8" x14ac:dyDescent="0.25">
      <c r="A587" s="2" t="str">
        <f>"DIV-15NW1F"</f>
        <v>DIV-15NW1F</v>
      </c>
      <c r="B587" s="2" t="str">
        <f>"DIVAR Wand, 15,4W, 65°, 1 Lichtaustritt, 4000K, IP65, weiß"</f>
        <v>DIVAR Wand, 15,4W, 65°, 1 Lichtaustritt, 4000K, IP65, weiß</v>
      </c>
      <c r="C587" s="16">
        <v>275</v>
      </c>
      <c r="D587" s="11">
        <v>265</v>
      </c>
      <c r="E587" s="7">
        <f t="shared" si="27"/>
        <v>1</v>
      </c>
      <c r="F587" s="22" t="str">
        <f>IF(ISERROR(VLOOKUP($A587,#REF!,3,0)),"x",VLOOKUP($A587,#REF!,3,FALSE))</f>
        <v>x</v>
      </c>
      <c r="G587" s="9">
        <f t="shared" si="28"/>
        <v>1</v>
      </c>
      <c r="H587" s="13">
        <f t="shared" si="29"/>
        <v>275</v>
      </c>
    </row>
    <row r="588" spans="1:8" x14ac:dyDescent="0.25">
      <c r="A588" s="2" t="str">
        <f>"DIV-15NW6"</f>
        <v>DIV-15NW6</v>
      </c>
      <c r="B588" s="2" t="str">
        <f>"DIVAR Wand, 15,4W, 32°, 1 Lichtaustritt, 4000K, IP65, anthrazit"</f>
        <v>DIVAR Wand, 15,4W, 32°, 1 Lichtaustritt, 4000K, IP65, anthrazit</v>
      </c>
      <c r="C588" s="16">
        <v>275</v>
      </c>
      <c r="D588" s="11">
        <v>265</v>
      </c>
      <c r="E588" s="7">
        <f t="shared" si="27"/>
        <v>1</v>
      </c>
      <c r="F588" s="22" t="str">
        <f>IF(ISERROR(VLOOKUP($A588,#REF!,3,0)),"x",VLOOKUP($A588,#REF!,3,FALSE))</f>
        <v>x</v>
      </c>
      <c r="G588" s="9">
        <f t="shared" si="28"/>
        <v>1</v>
      </c>
      <c r="H588" s="13">
        <f t="shared" si="29"/>
        <v>275</v>
      </c>
    </row>
    <row r="589" spans="1:8" x14ac:dyDescent="0.25">
      <c r="A589" s="2" t="str">
        <f>"DIV-15NW6F"</f>
        <v>DIV-15NW6F</v>
      </c>
      <c r="B589" s="2" t="str">
        <f>"DIVAR Wand, 15,4W, 65°, 1 Lichtaustritt, 4000K, IP65, anthrazit"</f>
        <v>DIVAR Wand, 15,4W, 65°, 1 Lichtaustritt, 4000K, IP65, anthrazit</v>
      </c>
      <c r="C589" s="16">
        <v>275</v>
      </c>
      <c r="D589" s="11">
        <v>265</v>
      </c>
      <c r="E589" s="7">
        <f t="shared" si="27"/>
        <v>1</v>
      </c>
      <c r="F589" s="22" t="str">
        <f>IF(ISERROR(VLOOKUP($A589,#REF!,3,0)),"x",VLOOKUP($A589,#REF!,3,FALSE))</f>
        <v>x</v>
      </c>
      <c r="G589" s="9">
        <f t="shared" si="28"/>
        <v>1</v>
      </c>
      <c r="H589" s="13">
        <f t="shared" si="29"/>
        <v>275</v>
      </c>
    </row>
    <row r="590" spans="1:8" x14ac:dyDescent="0.25">
      <c r="A590" s="2" t="str">
        <f>"DIV-15NW7"</f>
        <v>DIV-15NW7</v>
      </c>
      <c r="B590" s="2" t="str">
        <f>"DIVAR Wand, 15,4W, 32°, 1 Lichtaustritt, 4000K, IP65, alu grau"</f>
        <v>DIVAR Wand, 15,4W, 32°, 1 Lichtaustritt, 4000K, IP65, alu grau</v>
      </c>
      <c r="C590" s="16">
        <v>275</v>
      </c>
      <c r="D590" s="11">
        <v>265</v>
      </c>
      <c r="E590" s="7">
        <f t="shared" si="27"/>
        <v>1</v>
      </c>
      <c r="F590" s="22" t="str">
        <f>IF(ISERROR(VLOOKUP($A590,#REF!,3,0)),"x",VLOOKUP($A590,#REF!,3,FALSE))</f>
        <v>x</v>
      </c>
      <c r="G590" s="9">
        <f t="shared" si="28"/>
        <v>1</v>
      </c>
      <c r="H590" s="13">
        <f t="shared" si="29"/>
        <v>275</v>
      </c>
    </row>
    <row r="591" spans="1:8" x14ac:dyDescent="0.25">
      <c r="A591" s="2" t="str">
        <f>"DIV-15NW7F"</f>
        <v>DIV-15NW7F</v>
      </c>
      <c r="B591" s="2" t="str">
        <f>"DIVAR Wand, 15,4W, 65°, 1 Lichtaustritt, 4000K, IP65, alu grau"</f>
        <v>DIVAR Wand, 15,4W, 65°, 1 Lichtaustritt, 4000K, IP65, alu grau</v>
      </c>
      <c r="C591" s="16">
        <v>275</v>
      </c>
      <c r="D591" s="11">
        <v>265</v>
      </c>
      <c r="E591" s="7">
        <f t="shared" si="27"/>
        <v>1</v>
      </c>
      <c r="F591" s="22" t="str">
        <f>IF(ISERROR(VLOOKUP($A591,#REF!,3,0)),"x",VLOOKUP($A591,#REF!,3,FALSE))</f>
        <v>x</v>
      </c>
      <c r="G591" s="9">
        <f t="shared" si="28"/>
        <v>1</v>
      </c>
      <c r="H591" s="13">
        <f t="shared" si="29"/>
        <v>275</v>
      </c>
    </row>
    <row r="592" spans="1:8" x14ac:dyDescent="0.25">
      <c r="A592" s="2" t="str">
        <f>"DIV-15WW08"</f>
        <v>DIV-15WW08</v>
      </c>
      <c r="B592" s="2" t="str">
        <f>"DIVAR Wand, 15,4W, 32°, 1 Lichtaustritt, 3000K, IP65, Ibiza sand"</f>
        <v>DIVAR Wand, 15,4W, 32°, 1 Lichtaustritt, 3000K, IP65, Ibiza sand</v>
      </c>
      <c r="C592" s="16">
        <v>275</v>
      </c>
      <c r="D592" s="11">
        <v>265</v>
      </c>
      <c r="E592" s="7">
        <f t="shared" si="27"/>
        <v>1</v>
      </c>
      <c r="F592" s="22" t="str">
        <f>IF(ISERROR(VLOOKUP($A592,#REF!,3,0)),"x",VLOOKUP($A592,#REF!,3,FALSE))</f>
        <v>x</v>
      </c>
      <c r="G592" s="9">
        <f t="shared" si="28"/>
        <v>1</v>
      </c>
      <c r="H592" s="13">
        <f t="shared" si="29"/>
        <v>275</v>
      </c>
    </row>
    <row r="593" spans="1:8" x14ac:dyDescent="0.25">
      <c r="A593" s="2" t="str">
        <f>"DIV-15WW08F"</f>
        <v>DIV-15WW08F</v>
      </c>
      <c r="B593" s="2" t="str">
        <f>"DIVAR Wand, 15,4W, 65°, 1 Lichtaustritt, 3000K, IP65, Ibiza sand"</f>
        <v>DIVAR Wand, 15,4W, 65°, 1 Lichtaustritt, 3000K, IP65, Ibiza sand</v>
      </c>
      <c r="C593" s="16">
        <v>275</v>
      </c>
      <c r="D593" s="11">
        <v>265</v>
      </c>
      <c r="E593" s="7">
        <f t="shared" si="27"/>
        <v>1</v>
      </c>
      <c r="F593" s="22" t="str">
        <f>IF(ISERROR(VLOOKUP($A593,#REF!,3,0)),"x",VLOOKUP($A593,#REF!,3,FALSE))</f>
        <v>x</v>
      </c>
      <c r="G593" s="9">
        <f t="shared" si="28"/>
        <v>1</v>
      </c>
      <c r="H593" s="13">
        <f t="shared" si="29"/>
        <v>275</v>
      </c>
    </row>
    <row r="594" spans="1:8" x14ac:dyDescent="0.25">
      <c r="A594" s="2" t="str">
        <f>"DIV-15WW1"</f>
        <v>DIV-15WW1</v>
      </c>
      <c r="B594" s="2" t="str">
        <f>"DIVAR Wand, 15,4W, 32°, 1 Lichtaustritt, 3000K, IP65, weiß"</f>
        <v>DIVAR Wand, 15,4W, 32°, 1 Lichtaustritt, 3000K, IP65, weiß</v>
      </c>
      <c r="C594" s="16">
        <v>275</v>
      </c>
      <c r="D594" s="11">
        <v>265</v>
      </c>
      <c r="E594" s="7">
        <f t="shared" si="27"/>
        <v>1</v>
      </c>
      <c r="F594" s="22" t="str">
        <f>IF(ISERROR(VLOOKUP($A594,#REF!,3,0)),"x",VLOOKUP($A594,#REF!,3,FALSE))</f>
        <v>x</v>
      </c>
      <c r="G594" s="9">
        <f t="shared" si="28"/>
        <v>1</v>
      </c>
      <c r="H594" s="13">
        <f t="shared" si="29"/>
        <v>275</v>
      </c>
    </row>
    <row r="595" spans="1:8" x14ac:dyDescent="0.25">
      <c r="A595" s="2" t="str">
        <f>"DIV-15WW1F"</f>
        <v>DIV-15WW1F</v>
      </c>
      <c r="B595" s="2" t="str">
        <f>"DIVAR Wand, 15,4W, 65°, 1 Lichtaustritt, 3000K, IP65, weiß"</f>
        <v>DIVAR Wand, 15,4W, 65°, 1 Lichtaustritt, 3000K, IP65, weiß</v>
      </c>
      <c r="C595" s="16">
        <v>275</v>
      </c>
      <c r="D595" s="11">
        <v>265</v>
      </c>
      <c r="E595" s="7">
        <f t="shared" si="27"/>
        <v>1</v>
      </c>
      <c r="F595" s="22" t="str">
        <f>IF(ISERROR(VLOOKUP($A595,#REF!,3,0)),"x",VLOOKUP($A595,#REF!,3,FALSE))</f>
        <v>x</v>
      </c>
      <c r="G595" s="9">
        <f t="shared" si="28"/>
        <v>1</v>
      </c>
      <c r="H595" s="13">
        <f t="shared" si="29"/>
        <v>275</v>
      </c>
    </row>
    <row r="596" spans="1:8" x14ac:dyDescent="0.25">
      <c r="A596" s="2" t="str">
        <f>"DIV-15WW6"</f>
        <v>DIV-15WW6</v>
      </c>
      <c r="B596" s="2" t="str">
        <f>"DIVAR Wand, 15,4W, 32°, 1 Lichtaustritt, 3000K, IP65, anthrazit"</f>
        <v>DIVAR Wand, 15,4W, 32°, 1 Lichtaustritt, 3000K, IP65, anthrazit</v>
      </c>
      <c r="C596" s="16">
        <v>275</v>
      </c>
      <c r="D596" s="11">
        <v>265</v>
      </c>
      <c r="E596" s="7">
        <f t="shared" si="27"/>
        <v>1</v>
      </c>
      <c r="F596" s="22" t="str">
        <f>IF(ISERROR(VLOOKUP($A596,#REF!,3,0)),"x",VLOOKUP($A596,#REF!,3,FALSE))</f>
        <v>x</v>
      </c>
      <c r="G596" s="9">
        <f t="shared" si="28"/>
        <v>1</v>
      </c>
      <c r="H596" s="13">
        <f t="shared" si="29"/>
        <v>275</v>
      </c>
    </row>
    <row r="597" spans="1:8" x14ac:dyDescent="0.25">
      <c r="A597" s="2" t="str">
        <f>"DIV-15WW6F"</f>
        <v>DIV-15WW6F</v>
      </c>
      <c r="B597" s="2" t="str">
        <f>"DIVAR Wand, 15,4W, 65°, 1 Lichtaustritt, 3000K, IP65, anthrazit"</f>
        <v>DIVAR Wand, 15,4W, 65°, 1 Lichtaustritt, 3000K, IP65, anthrazit</v>
      </c>
      <c r="C597" s="16">
        <v>275</v>
      </c>
      <c r="D597" s="11">
        <v>265</v>
      </c>
      <c r="E597" s="7">
        <f t="shared" si="27"/>
        <v>1</v>
      </c>
      <c r="F597" s="22" t="str">
        <f>IF(ISERROR(VLOOKUP($A597,#REF!,3,0)),"x",VLOOKUP($A597,#REF!,3,FALSE))</f>
        <v>x</v>
      </c>
      <c r="G597" s="9">
        <f t="shared" si="28"/>
        <v>1</v>
      </c>
      <c r="H597" s="13">
        <f t="shared" si="29"/>
        <v>275</v>
      </c>
    </row>
    <row r="598" spans="1:8" x14ac:dyDescent="0.25">
      <c r="A598" s="2" t="str">
        <f>"DIV-15WW7"</f>
        <v>DIV-15WW7</v>
      </c>
      <c r="B598" s="2" t="str">
        <f>"DIVAR Wand, 15,4W, 32°, 1 Lichtaustritt, 3000K, IP65, alu grau"</f>
        <v>DIVAR Wand, 15,4W, 32°, 1 Lichtaustritt, 3000K, IP65, alu grau</v>
      </c>
      <c r="C598" s="16">
        <v>275</v>
      </c>
      <c r="D598" s="11">
        <v>265</v>
      </c>
      <c r="E598" s="7">
        <f t="shared" si="27"/>
        <v>1</v>
      </c>
      <c r="F598" s="22" t="str">
        <f>IF(ISERROR(VLOOKUP($A598,#REF!,3,0)),"x",VLOOKUP($A598,#REF!,3,FALSE))</f>
        <v>x</v>
      </c>
      <c r="G598" s="9">
        <f t="shared" si="28"/>
        <v>1</v>
      </c>
      <c r="H598" s="13">
        <f t="shared" si="29"/>
        <v>275</v>
      </c>
    </row>
    <row r="599" spans="1:8" x14ac:dyDescent="0.25">
      <c r="A599" s="2" t="str">
        <f>"DIV-15WW7F"</f>
        <v>DIV-15WW7F</v>
      </c>
      <c r="B599" s="2" t="str">
        <f>"DIVAR Wand, 15,4W, 65°, 1 Lichtaustritt, 3000K, IP65, alu grau"</f>
        <v>DIVAR Wand, 15,4W, 65°, 1 Lichtaustritt, 3000K, IP65, alu grau</v>
      </c>
      <c r="C599" s="16">
        <v>275</v>
      </c>
      <c r="D599" s="11">
        <v>265</v>
      </c>
      <c r="E599" s="7">
        <f t="shared" si="27"/>
        <v>1</v>
      </c>
      <c r="F599" s="22" t="str">
        <f>IF(ISERROR(VLOOKUP($A599,#REF!,3,0)),"x",VLOOKUP($A599,#REF!,3,FALSE))</f>
        <v>x</v>
      </c>
      <c r="G599" s="9">
        <f t="shared" si="28"/>
        <v>1</v>
      </c>
      <c r="H599" s="13">
        <f t="shared" si="29"/>
        <v>275</v>
      </c>
    </row>
    <row r="600" spans="1:8" x14ac:dyDescent="0.25">
      <c r="A600" s="2" t="str">
        <f>"DIV-30NW08"</f>
        <v>DIV-30NW08</v>
      </c>
      <c r="B600" s="2" t="str">
        <f>"DIVAR Wand, 29,7W, 32°, 2 Lichtaustritte, 4000K, IP65, Ibiza sand"</f>
        <v>DIVAR Wand, 29,7W, 32°, 2 Lichtaustritte, 4000K, IP65, Ibiza sand</v>
      </c>
      <c r="C600" s="16">
        <v>375</v>
      </c>
      <c r="D600" s="11">
        <v>265</v>
      </c>
      <c r="E600" s="7">
        <f t="shared" si="27"/>
        <v>1</v>
      </c>
      <c r="F600" s="22" t="str">
        <f>IF(ISERROR(VLOOKUP($A600,#REF!,3,0)),"x",VLOOKUP($A600,#REF!,3,FALSE))</f>
        <v>x</v>
      </c>
      <c r="G600" s="9">
        <f t="shared" si="28"/>
        <v>1</v>
      </c>
      <c r="H600" s="13">
        <f t="shared" si="29"/>
        <v>375</v>
      </c>
    </row>
    <row r="601" spans="1:8" x14ac:dyDescent="0.25">
      <c r="A601" s="2" t="str">
        <f>"DIV-30NW08F"</f>
        <v>DIV-30NW08F</v>
      </c>
      <c r="B601" s="2" t="str">
        <f>"DIVAR Wand, 29,7W, 65°, 2 Lichtaustritte, 4000K, IP65, Ibiza sand"</f>
        <v>DIVAR Wand, 29,7W, 65°, 2 Lichtaustritte, 4000K, IP65, Ibiza sand</v>
      </c>
      <c r="C601" s="16">
        <v>375</v>
      </c>
      <c r="D601" s="11">
        <v>265</v>
      </c>
      <c r="E601" s="7">
        <f t="shared" si="27"/>
        <v>1</v>
      </c>
      <c r="F601" s="22" t="str">
        <f>IF(ISERROR(VLOOKUP($A601,#REF!,3,0)),"x",VLOOKUP($A601,#REF!,3,FALSE))</f>
        <v>x</v>
      </c>
      <c r="G601" s="9">
        <f t="shared" si="28"/>
        <v>1</v>
      </c>
      <c r="H601" s="13">
        <f t="shared" si="29"/>
        <v>375</v>
      </c>
    </row>
    <row r="602" spans="1:8" x14ac:dyDescent="0.25">
      <c r="A602" s="2" t="str">
        <f>"DIV-30NW1"</f>
        <v>DIV-30NW1</v>
      </c>
      <c r="B602" s="2" t="str">
        <f>"DIVAR Wand, 29,7W, 32°, 2 Lichtaustritte, 4000K, IP65, weiß"</f>
        <v>DIVAR Wand, 29,7W, 32°, 2 Lichtaustritte, 4000K, IP65, weiß</v>
      </c>
      <c r="C602" s="16">
        <v>375</v>
      </c>
      <c r="D602" s="11">
        <v>265</v>
      </c>
      <c r="E602" s="7">
        <f t="shared" si="27"/>
        <v>1</v>
      </c>
      <c r="F602" s="22" t="str">
        <f>IF(ISERROR(VLOOKUP($A602,#REF!,3,0)),"x",VLOOKUP($A602,#REF!,3,FALSE))</f>
        <v>x</v>
      </c>
      <c r="G602" s="9">
        <f t="shared" si="28"/>
        <v>1</v>
      </c>
      <c r="H602" s="13">
        <f t="shared" si="29"/>
        <v>375</v>
      </c>
    </row>
    <row r="603" spans="1:8" x14ac:dyDescent="0.25">
      <c r="A603" s="2" t="str">
        <f>"DIV-30NW1F"</f>
        <v>DIV-30NW1F</v>
      </c>
      <c r="B603" s="2" t="str">
        <f>"DIVAR Wand, 29,7W, 65°, 2 Lichtaustritte, 4000K, IP65, weiß"</f>
        <v>DIVAR Wand, 29,7W, 65°, 2 Lichtaustritte, 4000K, IP65, weiß</v>
      </c>
      <c r="C603" s="16">
        <v>375</v>
      </c>
      <c r="D603" s="11">
        <v>265</v>
      </c>
      <c r="E603" s="7">
        <f t="shared" si="27"/>
        <v>1</v>
      </c>
      <c r="F603" s="22" t="str">
        <f>IF(ISERROR(VLOOKUP($A603,#REF!,3,0)),"x",VLOOKUP($A603,#REF!,3,FALSE))</f>
        <v>x</v>
      </c>
      <c r="G603" s="9">
        <f t="shared" si="28"/>
        <v>1</v>
      </c>
      <c r="H603" s="13">
        <f t="shared" si="29"/>
        <v>375</v>
      </c>
    </row>
    <row r="604" spans="1:8" x14ac:dyDescent="0.25">
      <c r="A604" s="2" t="str">
        <f>"DIV-30NW6"</f>
        <v>DIV-30NW6</v>
      </c>
      <c r="B604" s="2" t="str">
        <f>"DIVAR Wand, 29,7W, 32°, 2 Lichtaustritte, 4000K, IP65, anthrazit"</f>
        <v>DIVAR Wand, 29,7W, 32°, 2 Lichtaustritte, 4000K, IP65, anthrazit</v>
      </c>
      <c r="C604" s="16">
        <v>375</v>
      </c>
      <c r="D604" s="11">
        <v>265</v>
      </c>
      <c r="E604" s="7">
        <f t="shared" si="27"/>
        <v>1</v>
      </c>
      <c r="F604" s="22" t="str">
        <f>IF(ISERROR(VLOOKUP($A604,#REF!,3,0)),"x",VLOOKUP($A604,#REF!,3,FALSE))</f>
        <v>x</v>
      </c>
      <c r="G604" s="9">
        <f t="shared" si="28"/>
        <v>1</v>
      </c>
      <c r="H604" s="13">
        <f t="shared" si="29"/>
        <v>375</v>
      </c>
    </row>
    <row r="605" spans="1:8" x14ac:dyDescent="0.25">
      <c r="A605" s="2" t="str">
        <f>"DIV-30NW6F"</f>
        <v>DIV-30NW6F</v>
      </c>
      <c r="B605" s="2" t="str">
        <f>"DIVAR Wand, 29,7W, 65°, 2 Lichtaustritte, 4000K, IP65, anthrazit"</f>
        <v>DIVAR Wand, 29,7W, 65°, 2 Lichtaustritte, 4000K, IP65, anthrazit</v>
      </c>
      <c r="C605" s="16">
        <v>375</v>
      </c>
      <c r="D605" s="11">
        <v>265</v>
      </c>
      <c r="E605" s="7">
        <f t="shared" si="27"/>
        <v>1</v>
      </c>
      <c r="F605" s="22" t="str">
        <f>IF(ISERROR(VLOOKUP($A605,#REF!,3,0)),"x",VLOOKUP($A605,#REF!,3,FALSE))</f>
        <v>x</v>
      </c>
      <c r="G605" s="9">
        <f t="shared" si="28"/>
        <v>1</v>
      </c>
      <c r="H605" s="13">
        <f t="shared" si="29"/>
        <v>375</v>
      </c>
    </row>
    <row r="606" spans="1:8" x14ac:dyDescent="0.25">
      <c r="A606" s="2" t="str">
        <f>"DIV-30NW7"</f>
        <v>DIV-30NW7</v>
      </c>
      <c r="B606" s="2" t="str">
        <f>"DIVAR Wand, 29,7W, 32°, 2 Lichtaustritte, 4000K, IP65, alugrau"</f>
        <v>DIVAR Wand, 29,7W, 32°, 2 Lichtaustritte, 4000K, IP65, alugrau</v>
      </c>
      <c r="C606" s="16">
        <v>375</v>
      </c>
      <c r="D606" s="11">
        <v>265</v>
      </c>
      <c r="E606" s="7">
        <f t="shared" si="27"/>
        <v>1</v>
      </c>
      <c r="F606" s="22" t="str">
        <f>IF(ISERROR(VLOOKUP($A606,#REF!,3,0)),"x",VLOOKUP($A606,#REF!,3,FALSE))</f>
        <v>x</v>
      </c>
      <c r="G606" s="9">
        <f t="shared" si="28"/>
        <v>1</v>
      </c>
      <c r="H606" s="13">
        <f t="shared" si="29"/>
        <v>375</v>
      </c>
    </row>
    <row r="607" spans="1:8" x14ac:dyDescent="0.25">
      <c r="A607" s="2" t="str">
        <f>"DIV-30NW7F"</f>
        <v>DIV-30NW7F</v>
      </c>
      <c r="B607" s="2" t="str">
        <f>"DIVAR Wand, 29,7W, 65°, 2 Lichtaustritte, 4000K, IP65, alugrau"</f>
        <v>DIVAR Wand, 29,7W, 65°, 2 Lichtaustritte, 4000K, IP65, alugrau</v>
      </c>
      <c r="C607" s="16">
        <v>375</v>
      </c>
      <c r="D607" s="11">
        <v>265</v>
      </c>
      <c r="E607" s="7">
        <f t="shared" si="27"/>
        <v>1</v>
      </c>
      <c r="F607" s="22" t="str">
        <f>IF(ISERROR(VLOOKUP($A607,#REF!,3,0)),"x",VLOOKUP($A607,#REF!,3,FALSE))</f>
        <v>x</v>
      </c>
      <c r="G607" s="9">
        <f t="shared" si="28"/>
        <v>1</v>
      </c>
      <c r="H607" s="13">
        <f t="shared" si="29"/>
        <v>375</v>
      </c>
    </row>
    <row r="608" spans="1:8" x14ac:dyDescent="0.25">
      <c r="A608" s="2" t="str">
        <f>"DIV-30WW08"</f>
        <v>DIV-30WW08</v>
      </c>
      <c r="B608" s="2" t="str">
        <f>"DIVAR Wand, 29,7W, 32°, 2 Lichtaustritte, 3000K, IP65, Ibiza sand"</f>
        <v>DIVAR Wand, 29,7W, 32°, 2 Lichtaustritte, 3000K, IP65, Ibiza sand</v>
      </c>
      <c r="C608" s="16">
        <v>375</v>
      </c>
      <c r="D608" s="11">
        <v>265</v>
      </c>
      <c r="E608" s="7">
        <f t="shared" si="27"/>
        <v>1</v>
      </c>
      <c r="F608" s="22" t="str">
        <f>IF(ISERROR(VLOOKUP($A608,#REF!,3,0)),"x",VLOOKUP($A608,#REF!,3,FALSE))</f>
        <v>x</v>
      </c>
      <c r="G608" s="9">
        <f t="shared" si="28"/>
        <v>1</v>
      </c>
      <c r="H608" s="13">
        <f t="shared" si="29"/>
        <v>375</v>
      </c>
    </row>
    <row r="609" spans="1:8" x14ac:dyDescent="0.25">
      <c r="A609" s="2" t="str">
        <f>"DIV-30WW08F"</f>
        <v>DIV-30WW08F</v>
      </c>
      <c r="B609" s="2" t="str">
        <f>"DIVAR Wand, 29,7W, 65°, 2 Lichtaustritte, 3000K, IP65, Ibiza sand"</f>
        <v>DIVAR Wand, 29,7W, 65°, 2 Lichtaustritte, 3000K, IP65, Ibiza sand</v>
      </c>
      <c r="C609" s="16">
        <v>375</v>
      </c>
      <c r="D609" s="11">
        <v>265</v>
      </c>
      <c r="E609" s="7">
        <f t="shared" si="27"/>
        <v>1</v>
      </c>
      <c r="F609" s="22" t="str">
        <f>IF(ISERROR(VLOOKUP($A609,#REF!,3,0)),"x",VLOOKUP($A609,#REF!,3,FALSE))</f>
        <v>x</v>
      </c>
      <c r="G609" s="9">
        <f t="shared" si="28"/>
        <v>1</v>
      </c>
      <c r="H609" s="13">
        <f t="shared" si="29"/>
        <v>375</v>
      </c>
    </row>
    <row r="610" spans="1:8" x14ac:dyDescent="0.25">
      <c r="A610" s="2" t="str">
        <f>"DIV-30WW1"</f>
        <v>DIV-30WW1</v>
      </c>
      <c r="B610" s="2" t="str">
        <f>"DIVAR Wand, 29,7W, 32°, 2 Lichtaustritte, 3000K, IP65, weiß"</f>
        <v>DIVAR Wand, 29,7W, 32°, 2 Lichtaustritte, 3000K, IP65, weiß</v>
      </c>
      <c r="C610" s="16">
        <v>375</v>
      </c>
      <c r="D610" s="11">
        <v>265</v>
      </c>
      <c r="E610" s="7">
        <f t="shared" si="27"/>
        <v>1</v>
      </c>
      <c r="F610" s="22" t="str">
        <f>IF(ISERROR(VLOOKUP($A610,#REF!,3,0)),"x",VLOOKUP($A610,#REF!,3,FALSE))</f>
        <v>x</v>
      </c>
      <c r="G610" s="9">
        <f t="shared" si="28"/>
        <v>1</v>
      </c>
      <c r="H610" s="13">
        <f t="shared" si="29"/>
        <v>375</v>
      </c>
    </row>
    <row r="611" spans="1:8" x14ac:dyDescent="0.25">
      <c r="A611" s="2" t="str">
        <f>"DIV-30WW1F"</f>
        <v>DIV-30WW1F</v>
      </c>
      <c r="B611" s="2" t="str">
        <f>"DIVAR Wand, 29,7W, 65°, 2 Lichtaustritte, 3000K, IP65, weiß"</f>
        <v>DIVAR Wand, 29,7W, 65°, 2 Lichtaustritte, 3000K, IP65, weiß</v>
      </c>
      <c r="C611" s="16">
        <v>375</v>
      </c>
      <c r="D611" s="11">
        <v>265</v>
      </c>
      <c r="E611" s="7">
        <f t="shared" si="27"/>
        <v>1</v>
      </c>
      <c r="F611" s="22" t="str">
        <f>IF(ISERROR(VLOOKUP($A611,#REF!,3,0)),"x",VLOOKUP($A611,#REF!,3,FALSE))</f>
        <v>x</v>
      </c>
      <c r="G611" s="9">
        <f t="shared" si="28"/>
        <v>1</v>
      </c>
      <c r="H611" s="13">
        <f t="shared" si="29"/>
        <v>375</v>
      </c>
    </row>
    <row r="612" spans="1:8" x14ac:dyDescent="0.25">
      <c r="A612" s="2" t="str">
        <f>"DIV-30WW6"</f>
        <v>DIV-30WW6</v>
      </c>
      <c r="B612" s="2" t="str">
        <f>"DIVAR Wand, 29,7W, 32°, 2 Lichtaustritte, 3000K, IP65, anthrazit"</f>
        <v>DIVAR Wand, 29,7W, 32°, 2 Lichtaustritte, 3000K, IP65, anthrazit</v>
      </c>
      <c r="C612" s="16">
        <v>375</v>
      </c>
      <c r="D612" s="11">
        <v>265</v>
      </c>
      <c r="E612" s="7">
        <f t="shared" si="27"/>
        <v>1</v>
      </c>
      <c r="F612" s="22" t="str">
        <f>IF(ISERROR(VLOOKUP($A612,#REF!,3,0)),"x",VLOOKUP($A612,#REF!,3,FALSE))</f>
        <v>x</v>
      </c>
      <c r="G612" s="9">
        <f t="shared" si="28"/>
        <v>1</v>
      </c>
      <c r="H612" s="13">
        <f t="shared" si="29"/>
        <v>375</v>
      </c>
    </row>
    <row r="613" spans="1:8" x14ac:dyDescent="0.25">
      <c r="A613" s="2" t="str">
        <f>"DIV-30WW6F"</f>
        <v>DIV-30WW6F</v>
      </c>
      <c r="B613" s="2" t="str">
        <f>"DIVAR Wand, 29,7W, 65°, 2 Lichtaustritte, 3000K, IP65, anthrazit"</f>
        <v>DIVAR Wand, 29,7W, 65°, 2 Lichtaustritte, 3000K, IP65, anthrazit</v>
      </c>
      <c r="C613" s="16">
        <v>375</v>
      </c>
      <c r="D613" s="11">
        <v>265</v>
      </c>
      <c r="E613" s="7">
        <f t="shared" si="27"/>
        <v>1</v>
      </c>
      <c r="F613" s="22" t="str">
        <f>IF(ISERROR(VLOOKUP($A613,#REF!,3,0)),"x",VLOOKUP($A613,#REF!,3,FALSE))</f>
        <v>x</v>
      </c>
      <c r="G613" s="9">
        <f t="shared" si="28"/>
        <v>1</v>
      </c>
      <c r="H613" s="13">
        <f t="shared" si="29"/>
        <v>375</v>
      </c>
    </row>
    <row r="614" spans="1:8" x14ac:dyDescent="0.25">
      <c r="A614" s="2" t="str">
        <f>"DIV-30WW7"</f>
        <v>DIV-30WW7</v>
      </c>
      <c r="B614" s="2" t="str">
        <f>"DIVAR Wand, 29,7W, 32°, 2 Lichtaustritte, 3000K, IP65, alugrau"</f>
        <v>DIVAR Wand, 29,7W, 32°, 2 Lichtaustritte, 3000K, IP65, alugrau</v>
      </c>
      <c r="C614" s="16">
        <v>375</v>
      </c>
      <c r="D614" s="11">
        <v>265</v>
      </c>
      <c r="E614" s="7">
        <f t="shared" si="27"/>
        <v>1</v>
      </c>
      <c r="F614" s="22" t="str">
        <f>IF(ISERROR(VLOOKUP($A614,#REF!,3,0)),"x",VLOOKUP($A614,#REF!,3,FALSE))</f>
        <v>x</v>
      </c>
      <c r="G614" s="9">
        <f t="shared" si="28"/>
        <v>1</v>
      </c>
      <c r="H614" s="13">
        <f t="shared" si="29"/>
        <v>375</v>
      </c>
    </row>
    <row r="615" spans="1:8" x14ac:dyDescent="0.25">
      <c r="A615" s="2" t="str">
        <f>"DIV-30WW7F"</f>
        <v>DIV-30WW7F</v>
      </c>
      <c r="B615" s="2" t="str">
        <f>"DIVAR Wand, 29,7W, 65°, 2 Lichtaustritte, 3000K, IP65, alugrau"</f>
        <v>DIVAR Wand, 29,7W, 65°, 2 Lichtaustritte, 3000K, IP65, alugrau</v>
      </c>
      <c r="C615" s="16">
        <v>375</v>
      </c>
      <c r="D615" s="11">
        <v>265</v>
      </c>
      <c r="E615" s="7">
        <f t="shared" si="27"/>
        <v>1</v>
      </c>
      <c r="F615" s="22" t="str">
        <f>IF(ISERROR(VLOOKUP($A615,#REF!,3,0)),"x",VLOOKUP($A615,#REF!,3,FALSE))</f>
        <v>x</v>
      </c>
      <c r="G615" s="9">
        <f t="shared" si="28"/>
        <v>1</v>
      </c>
      <c r="H615" s="13">
        <f t="shared" si="29"/>
        <v>375</v>
      </c>
    </row>
    <row r="616" spans="1:8" x14ac:dyDescent="0.25">
      <c r="A616" s="2" t="str">
        <f>"DIVD-15NW08"</f>
        <v>DIVD-15NW08</v>
      </c>
      <c r="B616" s="2" t="str">
        <f>"DIVAR Decke, 15W, 32°, 1 Lichtaustritt, 4000K, IP65, Ibiza sand"</f>
        <v>DIVAR Decke, 15W, 32°, 1 Lichtaustritt, 4000K, IP65, Ibiza sand</v>
      </c>
      <c r="C616" s="16">
        <v>275</v>
      </c>
      <c r="D616" s="11">
        <v>303</v>
      </c>
      <c r="E616" s="7">
        <f t="shared" si="27"/>
        <v>1</v>
      </c>
      <c r="F616" s="22" t="str">
        <f>IF(ISERROR(VLOOKUP($A616,#REF!,3,0)),"x",VLOOKUP($A616,#REF!,3,FALSE))</f>
        <v>x</v>
      </c>
      <c r="G616" s="9">
        <f t="shared" si="28"/>
        <v>1</v>
      </c>
      <c r="H616" s="13">
        <f t="shared" si="29"/>
        <v>275</v>
      </c>
    </row>
    <row r="617" spans="1:8" x14ac:dyDescent="0.25">
      <c r="A617" s="2" t="str">
        <f>"DIVD-15NW08F"</f>
        <v>DIVD-15NW08F</v>
      </c>
      <c r="B617" s="2" t="str">
        <f>"DIVAR Decke, 15W, 65°, 1 Lichtaustritt, 4000K, IP65, Ibiza sand"</f>
        <v>DIVAR Decke, 15W, 65°, 1 Lichtaustritt, 4000K, IP65, Ibiza sand</v>
      </c>
      <c r="C617" s="16">
        <v>275</v>
      </c>
      <c r="D617" s="11">
        <v>303</v>
      </c>
      <c r="E617" s="7">
        <f t="shared" si="27"/>
        <v>1</v>
      </c>
      <c r="F617" s="22" t="str">
        <f>IF(ISERROR(VLOOKUP($A617,#REF!,3,0)),"x",VLOOKUP($A617,#REF!,3,FALSE))</f>
        <v>x</v>
      </c>
      <c r="G617" s="9">
        <f t="shared" si="28"/>
        <v>1</v>
      </c>
      <c r="H617" s="13">
        <f t="shared" si="29"/>
        <v>275</v>
      </c>
    </row>
    <row r="618" spans="1:8" x14ac:dyDescent="0.25">
      <c r="A618" s="2" t="str">
        <f>"DIVD-15NW1"</f>
        <v>DIVD-15NW1</v>
      </c>
      <c r="B618" s="2" t="str">
        <f>"DIVAR Decke, 15W, 32°, 1 Lichtaustritt, 4000K, IP65, weiß"</f>
        <v>DIVAR Decke, 15W, 32°, 1 Lichtaustritt, 4000K, IP65, weiß</v>
      </c>
      <c r="C618" s="16">
        <v>275</v>
      </c>
      <c r="D618" s="11">
        <v>303</v>
      </c>
      <c r="E618" s="7">
        <f t="shared" si="27"/>
        <v>1</v>
      </c>
      <c r="F618" s="22" t="str">
        <f>IF(ISERROR(VLOOKUP($A618,#REF!,3,0)),"x",VLOOKUP($A618,#REF!,3,FALSE))</f>
        <v>x</v>
      </c>
      <c r="G618" s="9">
        <f t="shared" si="28"/>
        <v>1</v>
      </c>
      <c r="H618" s="13">
        <f t="shared" si="29"/>
        <v>275</v>
      </c>
    </row>
    <row r="619" spans="1:8" x14ac:dyDescent="0.25">
      <c r="A619" s="2" t="str">
        <f>"DIVD-15NW1F"</f>
        <v>DIVD-15NW1F</v>
      </c>
      <c r="B619" s="2" t="str">
        <f>"DIVAR Decke, 15W, 65°, 1 Lichtaustritt, 4000K, IP65, weiß"</f>
        <v>DIVAR Decke, 15W, 65°, 1 Lichtaustritt, 4000K, IP65, weiß</v>
      </c>
      <c r="C619" s="16">
        <v>275</v>
      </c>
      <c r="D619" s="11">
        <v>303</v>
      </c>
      <c r="E619" s="7">
        <f t="shared" si="27"/>
        <v>1</v>
      </c>
      <c r="F619" s="22" t="str">
        <f>IF(ISERROR(VLOOKUP($A619,#REF!,3,0)),"x",VLOOKUP($A619,#REF!,3,FALSE))</f>
        <v>x</v>
      </c>
      <c r="G619" s="9">
        <f t="shared" si="28"/>
        <v>1</v>
      </c>
      <c r="H619" s="13">
        <f t="shared" si="29"/>
        <v>275</v>
      </c>
    </row>
    <row r="620" spans="1:8" x14ac:dyDescent="0.25">
      <c r="A620" s="2" t="str">
        <f>"DIVD-15NW6"</f>
        <v>DIVD-15NW6</v>
      </c>
      <c r="B620" s="2" t="str">
        <f>"DIVAR Decke, 15W, 32°, 1 Lichtaustritt, 4000K, IP65, anthrazit"</f>
        <v>DIVAR Decke, 15W, 32°, 1 Lichtaustritt, 4000K, IP65, anthrazit</v>
      </c>
      <c r="C620" s="16">
        <v>275</v>
      </c>
      <c r="D620" s="11">
        <v>303</v>
      </c>
      <c r="E620" s="7">
        <f t="shared" si="27"/>
        <v>1</v>
      </c>
      <c r="F620" s="22" t="str">
        <f>IF(ISERROR(VLOOKUP($A620,#REF!,3,0)),"x",VLOOKUP($A620,#REF!,3,FALSE))</f>
        <v>x</v>
      </c>
      <c r="G620" s="9">
        <f t="shared" si="28"/>
        <v>1</v>
      </c>
      <c r="H620" s="13">
        <f t="shared" si="29"/>
        <v>275</v>
      </c>
    </row>
    <row r="621" spans="1:8" x14ac:dyDescent="0.25">
      <c r="A621" s="2" t="str">
        <f>"DIVD-15NW6F"</f>
        <v>DIVD-15NW6F</v>
      </c>
      <c r="B621" s="2" t="str">
        <f>"DIVAR Decke, 15W, 65°, 1 Lichtaustritt, 4000K, IP65, anthrazit"</f>
        <v>DIVAR Decke, 15W, 65°, 1 Lichtaustritt, 4000K, IP65, anthrazit</v>
      </c>
      <c r="C621" s="16">
        <v>275</v>
      </c>
      <c r="D621" s="11">
        <v>303</v>
      </c>
      <c r="E621" s="7">
        <f t="shared" si="27"/>
        <v>1</v>
      </c>
      <c r="F621" s="22" t="str">
        <f>IF(ISERROR(VLOOKUP($A621,#REF!,3,0)),"x",VLOOKUP($A621,#REF!,3,FALSE))</f>
        <v>x</v>
      </c>
      <c r="G621" s="9">
        <f t="shared" si="28"/>
        <v>1</v>
      </c>
      <c r="H621" s="13">
        <f t="shared" si="29"/>
        <v>275</v>
      </c>
    </row>
    <row r="622" spans="1:8" x14ac:dyDescent="0.25">
      <c r="A622" s="2" t="str">
        <f>"DIVD-15NW7"</f>
        <v>DIVD-15NW7</v>
      </c>
      <c r="B622" s="2" t="str">
        <f>"DIVAR Decke, 15W, 32°, 1 Lichtaustritt, 4000K, IP65, alu grau"</f>
        <v>DIVAR Decke, 15W, 32°, 1 Lichtaustritt, 4000K, IP65, alu grau</v>
      </c>
      <c r="C622" s="16">
        <v>275</v>
      </c>
      <c r="D622" s="11">
        <v>303</v>
      </c>
      <c r="E622" s="7">
        <f t="shared" si="27"/>
        <v>1</v>
      </c>
      <c r="F622" s="22" t="str">
        <f>IF(ISERROR(VLOOKUP($A622,#REF!,3,0)),"x",VLOOKUP($A622,#REF!,3,FALSE))</f>
        <v>x</v>
      </c>
      <c r="G622" s="9">
        <f t="shared" si="28"/>
        <v>1</v>
      </c>
      <c r="H622" s="13">
        <f t="shared" si="29"/>
        <v>275</v>
      </c>
    </row>
    <row r="623" spans="1:8" x14ac:dyDescent="0.25">
      <c r="A623" s="2" t="str">
        <f>"DIVD-15NW7F"</f>
        <v>DIVD-15NW7F</v>
      </c>
      <c r="B623" s="2" t="str">
        <f>"DIVAR Decke, 15W, 65°, 1 Lichtaustritt, 4000K, IP65, alu grau"</f>
        <v>DIVAR Decke, 15W, 65°, 1 Lichtaustritt, 4000K, IP65, alu grau</v>
      </c>
      <c r="C623" s="16">
        <v>275</v>
      </c>
      <c r="D623" s="11">
        <v>303</v>
      </c>
      <c r="E623" s="7">
        <f t="shared" si="27"/>
        <v>1</v>
      </c>
      <c r="F623" s="22" t="str">
        <f>IF(ISERROR(VLOOKUP($A623,#REF!,3,0)),"x",VLOOKUP($A623,#REF!,3,FALSE))</f>
        <v>x</v>
      </c>
      <c r="G623" s="9">
        <f t="shared" si="28"/>
        <v>1</v>
      </c>
      <c r="H623" s="13">
        <f t="shared" si="29"/>
        <v>275</v>
      </c>
    </row>
    <row r="624" spans="1:8" x14ac:dyDescent="0.25">
      <c r="A624" s="2" t="str">
        <f>"DIVD-15WW08"</f>
        <v>DIVD-15WW08</v>
      </c>
      <c r="B624" s="2" t="str">
        <f>"DIVAR Decke 15W, 32°, 1 Lichtaustritt, 3000K, IP65, Ibiza sand"</f>
        <v>DIVAR Decke 15W, 32°, 1 Lichtaustritt, 3000K, IP65, Ibiza sand</v>
      </c>
      <c r="C624" s="16">
        <v>275</v>
      </c>
      <c r="D624" s="11">
        <v>303</v>
      </c>
      <c r="E624" s="7">
        <f t="shared" si="27"/>
        <v>1</v>
      </c>
      <c r="F624" s="22" t="str">
        <f>IF(ISERROR(VLOOKUP($A624,#REF!,3,0)),"x",VLOOKUP($A624,#REF!,3,FALSE))</f>
        <v>x</v>
      </c>
      <c r="G624" s="9">
        <f t="shared" si="28"/>
        <v>1</v>
      </c>
      <c r="H624" s="13">
        <f t="shared" si="29"/>
        <v>275</v>
      </c>
    </row>
    <row r="625" spans="1:8" x14ac:dyDescent="0.25">
      <c r="A625" s="2" t="str">
        <f>"DIVD-15WW08F"</f>
        <v>DIVD-15WW08F</v>
      </c>
      <c r="B625" s="2" t="str">
        <f>"DIVAR Decke, 15W, 65°, 1 Lichtaustritt, 3000K, IP65, Ibiza sand"</f>
        <v>DIVAR Decke, 15W, 65°, 1 Lichtaustritt, 3000K, IP65, Ibiza sand</v>
      </c>
      <c r="C625" s="16">
        <v>275</v>
      </c>
      <c r="D625" s="11">
        <v>303</v>
      </c>
      <c r="E625" s="7">
        <f t="shared" si="27"/>
        <v>1</v>
      </c>
      <c r="F625" s="22" t="str">
        <f>IF(ISERROR(VLOOKUP($A625,#REF!,3,0)),"x",VLOOKUP($A625,#REF!,3,FALSE))</f>
        <v>x</v>
      </c>
      <c r="G625" s="9">
        <f t="shared" si="28"/>
        <v>1</v>
      </c>
      <c r="H625" s="13">
        <f t="shared" si="29"/>
        <v>275</v>
      </c>
    </row>
    <row r="626" spans="1:8" x14ac:dyDescent="0.25">
      <c r="A626" s="2" t="str">
        <f>"DIVD-15WW1"</f>
        <v>DIVD-15WW1</v>
      </c>
      <c r="B626" s="2" t="str">
        <f>"DIVAR Decke 15W, 32°, 1 Lichtaustritt, 3000K, IP65, weiß"</f>
        <v>DIVAR Decke 15W, 32°, 1 Lichtaustritt, 3000K, IP65, weiß</v>
      </c>
      <c r="C626" s="16">
        <v>275</v>
      </c>
      <c r="D626" s="11">
        <v>303</v>
      </c>
      <c r="E626" s="7">
        <f t="shared" si="27"/>
        <v>1</v>
      </c>
      <c r="F626" s="22" t="str">
        <f>IF(ISERROR(VLOOKUP($A626,#REF!,3,0)),"x",VLOOKUP($A626,#REF!,3,FALSE))</f>
        <v>x</v>
      </c>
      <c r="G626" s="9">
        <f t="shared" si="28"/>
        <v>1</v>
      </c>
      <c r="H626" s="13">
        <f t="shared" si="29"/>
        <v>275</v>
      </c>
    </row>
    <row r="627" spans="1:8" x14ac:dyDescent="0.25">
      <c r="A627" s="2" t="str">
        <f>"DIVD-15WW1F"</f>
        <v>DIVD-15WW1F</v>
      </c>
      <c r="B627" s="2" t="str">
        <f>"DIVAR Decke, 15W, 65°, 1 Lichtaustritt, 3000K, IP65, weiß"</f>
        <v>DIVAR Decke, 15W, 65°, 1 Lichtaustritt, 3000K, IP65, weiß</v>
      </c>
      <c r="C627" s="16">
        <v>275</v>
      </c>
      <c r="D627" s="11">
        <v>303</v>
      </c>
      <c r="E627" s="7">
        <f t="shared" si="27"/>
        <v>1</v>
      </c>
      <c r="F627" s="22" t="str">
        <f>IF(ISERROR(VLOOKUP($A627,#REF!,3,0)),"x",VLOOKUP($A627,#REF!,3,FALSE))</f>
        <v>x</v>
      </c>
      <c r="G627" s="9">
        <f t="shared" si="28"/>
        <v>1</v>
      </c>
      <c r="H627" s="13">
        <f t="shared" si="29"/>
        <v>275</v>
      </c>
    </row>
    <row r="628" spans="1:8" x14ac:dyDescent="0.25">
      <c r="A628" s="2" t="str">
        <f>"DIVD-15WW6"</f>
        <v>DIVD-15WW6</v>
      </c>
      <c r="B628" s="2" t="str">
        <f>"DIVAR Decke, 15W, 32°, 1 Lichtaustritt, 3000K, IP65, anthrazit"</f>
        <v>DIVAR Decke, 15W, 32°, 1 Lichtaustritt, 3000K, IP65, anthrazit</v>
      </c>
      <c r="C628" s="16">
        <v>275</v>
      </c>
      <c r="D628" s="11">
        <v>303</v>
      </c>
      <c r="E628" s="7">
        <f t="shared" si="27"/>
        <v>1</v>
      </c>
      <c r="F628" s="22" t="str">
        <f>IF(ISERROR(VLOOKUP($A628,#REF!,3,0)),"x",VLOOKUP($A628,#REF!,3,FALSE))</f>
        <v>x</v>
      </c>
      <c r="G628" s="9">
        <f t="shared" si="28"/>
        <v>1</v>
      </c>
      <c r="H628" s="13">
        <f t="shared" si="29"/>
        <v>275</v>
      </c>
    </row>
    <row r="629" spans="1:8" x14ac:dyDescent="0.25">
      <c r="A629" s="2" t="str">
        <f>"DIVD-15WW6F"</f>
        <v>DIVD-15WW6F</v>
      </c>
      <c r="B629" s="2" t="str">
        <f>"DIVAR Decke, 15W, 65°, 1 Lichtaustritt, 3000K, IP65, anthrazit"</f>
        <v>DIVAR Decke, 15W, 65°, 1 Lichtaustritt, 3000K, IP65, anthrazit</v>
      </c>
      <c r="C629" s="16">
        <v>275</v>
      </c>
      <c r="D629" s="11">
        <v>303</v>
      </c>
      <c r="E629" s="7">
        <f t="shared" si="27"/>
        <v>1</v>
      </c>
      <c r="F629" s="22" t="str">
        <f>IF(ISERROR(VLOOKUP($A629,#REF!,3,0)),"x",VLOOKUP($A629,#REF!,3,FALSE))</f>
        <v>x</v>
      </c>
      <c r="G629" s="9">
        <f t="shared" si="28"/>
        <v>1</v>
      </c>
      <c r="H629" s="13">
        <f t="shared" si="29"/>
        <v>275</v>
      </c>
    </row>
    <row r="630" spans="1:8" x14ac:dyDescent="0.25">
      <c r="A630" s="2" t="str">
        <f>"DIVD-15WW7"</f>
        <v>DIVD-15WW7</v>
      </c>
      <c r="B630" s="2" t="str">
        <f>"DIVAR Decke 15W, 32°, 1 Lichtaustritt, 3000K, IP65, alu grau"</f>
        <v>DIVAR Decke 15W, 32°, 1 Lichtaustritt, 3000K, IP65, alu grau</v>
      </c>
      <c r="C630" s="16">
        <v>275</v>
      </c>
      <c r="D630" s="11">
        <v>303</v>
      </c>
      <c r="E630" s="7">
        <f t="shared" si="27"/>
        <v>1</v>
      </c>
      <c r="F630" s="22" t="str">
        <f>IF(ISERROR(VLOOKUP($A630,#REF!,3,0)),"x",VLOOKUP($A630,#REF!,3,FALSE))</f>
        <v>x</v>
      </c>
      <c r="G630" s="9">
        <f t="shared" si="28"/>
        <v>1</v>
      </c>
      <c r="H630" s="13">
        <f t="shared" si="29"/>
        <v>275</v>
      </c>
    </row>
    <row r="631" spans="1:8" x14ac:dyDescent="0.25">
      <c r="A631" s="2" t="str">
        <f>"DIVD-15WW7F"</f>
        <v>DIVD-15WW7F</v>
      </c>
      <c r="B631" s="2" t="str">
        <f>"DIVAR Decke, 15W, 65°, 1 Lichtaustritt, 3000K, IP65, alu grau"</f>
        <v>DIVAR Decke, 15W, 65°, 1 Lichtaustritt, 3000K, IP65, alu grau</v>
      </c>
      <c r="C631" s="16">
        <v>275</v>
      </c>
      <c r="D631" s="11">
        <v>303</v>
      </c>
      <c r="E631" s="7">
        <f t="shared" si="27"/>
        <v>1</v>
      </c>
      <c r="F631" s="22" t="str">
        <f>IF(ISERROR(VLOOKUP($A631,#REF!,3,0)),"x",VLOOKUP($A631,#REF!,3,FALSE))</f>
        <v>x</v>
      </c>
      <c r="G631" s="9">
        <f t="shared" si="28"/>
        <v>1</v>
      </c>
      <c r="H631" s="13">
        <f t="shared" si="29"/>
        <v>275</v>
      </c>
    </row>
    <row r="632" spans="1:8" x14ac:dyDescent="0.25">
      <c r="A632" s="2" t="str">
        <f>"DLS-16NW6"</f>
        <v>DLS-16NW6</v>
      </c>
      <c r="B632" s="2" t="str">
        <f>"Lightsaber MID Power LED Außenleuchte, 16W, 4000K, 44°, L=586mm, anthrazit"</f>
        <v>Lightsaber MID Power LED Außenleuchte, 16W, 4000K, 44°, L=586mm, anthrazit</v>
      </c>
      <c r="C632" s="16">
        <v>419</v>
      </c>
      <c r="D632" s="11">
        <v>289</v>
      </c>
      <c r="E632" s="7">
        <f t="shared" si="27"/>
        <v>1</v>
      </c>
      <c r="F632" s="22" t="str">
        <f>IF(ISERROR(VLOOKUP($A632,#REF!,3,0)),"x",VLOOKUP($A632,#REF!,3,FALSE))</f>
        <v>x</v>
      </c>
      <c r="G632" s="9">
        <f t="shared" si="28"/>
        <v>1</v>
      </c>
      <c r="H632" s="13">
        <f t="shared" si="29"/>
        <v>419</v>
      </c>
    </row>
    <row r="633" spans="1:8" x14ac:dyDescent="0.25">
      <c r="A633" s="2" t="str">
        <f>"DLS-16NW6F"</f>
        <v>DLS-16NW6F</v>
      </c>
      <c r="B633" s="2" t="str">
        <f>"Lightsaber MID Power LED Außenleuchte, 16W, 4000K, 31°x88°, L=586mm, anthrazit"</f>
        <v>Lightsaber MID Power LED Außenleuchte, 16W, 4000K, 31°x88°, L=586mm, anthrazit</v>
      </c>
      <c r="C633" s="16">
        <v>419</v>
      </c>
      <c r="D633" s="11">
        <v>289</v>
      </c>
      <c r="E633" s="7">
        <f t="shared" si="27"/>
        <v>1</v>
      </c>
      <c r="F633" s="22" t="str">
        <f>IF(ISERROR(VLOOKUP($A633,#REF!,3,0)),"x",VLOOKUP($A633,#REF!,3,FALSE))</f>
        <v>x</v>
      </c>
      <c r="G633" s="9">
        <f t="shared" si="28"/>
        <v>1</v>
      </c>
      <c r="H633" s="13">
        <f t="shared" si="29"/>
        <v>419</v>
      </c>
    </row>
    <row r="634" spans="1:8" x14ac:dyDescent="0.25">
      <c r="A634" s="2" t="str">
        <f>"DLS-16NW7"</f>
        <v>DLS-16NW7</v>
      </c>
      <c r="B634" s="2" t="str">
        <f>"Lightsaber MID Power LED Außenleuchte, 16W, 4000K, 44°, L=586mm, alugrau"</f>
        <v>Lightsaber MID Power LED Außenleuchte, 16W, 4000K, 44°, L=586mm, alugrau</v>
      </c>
      <c r="C634" s="16">
        <v>419</v>
      </c>
      <c r="D634" s="11">
        <v>289</v>
      </c>
      <c r="E634" s="7">
        <f t="shared" si="27"/>
        <v>1</v>
      </c>
      <c r="F634" s="22" t="str">
        <f>IF(ISERROR(VLOOKUP($A634,#REF!,3,0)),"x",VLOOKUP($A634,#REF!,3,FALSE))</f>
        <v>x</v>
      </c>
      <c r="G634" s="9">
        <f t="shared" si="28"/>
        <v>1</v>
      </c>
      <c r="H634" s="13">
        <f t="shared" si="29"/>
        <v>419</v>
      </c>
    </row>
    <row r="635" spans="1:8" x14ac:dyDescent="0.25">
      <c r="A635" s="2" t="str">
        <f>"DLS-16NW7F"</f>
        <v>DLS-16NW7F</v>
      </c>
      <c r="B635" s="2" t="str">
        <f>"Lightsaber MID Power LED Außenleuchte, 16W, 4000K, 31°x88°, L=586mm, alugrau"</f>
        <v>Lightsaber MID Power LED Außenleuchte, 16W, 4000K, 31°x88°, L=586mm, alugrau</v>
      </c>
      <c r="C635" s="16">
        <v>419</v>
      </c>
      <c r="D635" s="11">
        <v>289</v>
      </c>
      <c r="E635" s="7">
        <f t="shared" si="27"/>
        <v>1</v>
      </c>
      <c r="F635" s="22" t="str">
        <f>IF(ISERROR(VLOOKUP($A635,#REF!,3,0)),"x",VLOOKUP($A635,#REF!,3,FALSE))</f>
        <v>x</v>
      </c>
      <c r="G635" s="9">
        <f t="shared" si="28"/>
        <v>1</v>
      </c>
      <c r="H635" s="13">
        <f t="shared" si="29"/>
        <v>419</v>
      </c>
    </row>
    <row r="636" spans="1:8" x14ac:dyDescent="0.25">
      <c r="A636" s="2" t="str">
        <f>"DLS-16WW6"</f>
        <v>DLS-16WW6</v>
      </c>
      <c r="B636" s="2" t="str">
        <f>"Lightsaber MID Power LED Außenleuchte, 16W, 3000K, 44°, L=586mm, anthrazit"</f>
        <v>Lightsaber MID Power LED Außenleuchte, 16W, 3000K, 44°, L=586mm, anthrazit</v>
      </c>
      <c r="C636" s="16">
        <v>419</v>
      </c>
      <c r="D636" s="11">
        <v>289</v>
      </c>
      <c r="E636" s="7">
        <f t="shared" si="27"/>
        <v>1</v>
      </c>
      <c r="F636" s="22" t="str">
        <f>IF(ISERROR(VLOOKUP($A636,#REF!,3,0)),"x",VLOOKUP($A636,#REF!,3,FALSE))</f>
        <v>x</v>
      </c>
      <c r="G636" s="9">
        <f t="shared" si="28"/>
        <v>1</v>
      </c>
      <c r="H636" s="13">
        <f t="shared" si="29"/>
        <v>419</v>
      </c>
    </row>
    <row r="637" spans="1:8" x14ac:dyDescent="0.25">
      <c r="A637" s="2" t="str">
        <f>"DLS-16WW6F"</f>
        <v>DLS-16WW6F</v>
      </c>
      <c r="B637" s="2" t="str">
        <f>"Lightsaber MID Power LED Außenleuchte, 16W, 3000K, 31°x88°, L=586mm, anthrazit"</f>
        <v>Lightsaber MID Power LED Außenleuchte, 16W, 3000K, 31°x88°, L=586mm, anthrazit</v>
      </c>
      <c r="C637" s="16">
        <v>419</v>
      </c>
      <c r="D637" s="11">
        <v>289</v>
      </c>
      <c r="E637" s="7">
        <f t="shared" si="27"/>
        <v>1</v>
      </c>
      <c r="F637" s="22" t="str">
        <f>IF(ISERROR(VLOOKUP($A637,#REF!,3,0)),"x",VLOOKUP($A637,#REF!,3,FALSE))</f>
        <v>x</v>
      </c>
      <c r="G637" s="9">
        <f t="shared" si="28"/>
        <v>1</v>
      </c>
      <c r="H637" s="13">
        <f t="shared" si="29"/>
        <v>419</v>
      </c>
    </row>
    <row r="638" spans="1:8" x14ac:dyDescent="0.25">
      <c r="A638" s="2" t="str">
        <f>"DLS-16WW7"</f>
        <v>DLS-16WW7</v>
      </c>
      <c r="B638" s="2" t="str">
        <f>"Lightsaber MID Power LED Außenleuchte, 16W, 3000K, 44°, L=586mm, alugrau"</f>
        <v>Lightsaber MID Power LED Außenleuchte, 16W, 3000K, 44°, L=586mm, alugrau</v>
      </c>
      <c r="C638" s="16">
        <v>419</v>
      </c>
      <c r="D638" s="11">
        <v>289</v>
      </c>
      <c r="E638" s="7">
        <f t="shared" si="27"/>
        <v>1</v>
      </c>
      <c r="F638" s="22" t="str">
        <f>IF(ISERROR(VLOOKUP($A638,#REF!,3,0)),"x",VLOOKUP($A638,#REF!,3,FALSE))</f>
        <v>x</v>
      </c>
      <c r="G638" s="9">
        <f t="shared" si="28"/>
        <v>1</v>
      </c>
      <c r="H638" s="13">
        <f t="shared" si="29"/>
        <v>419</v>
      </c>
    </row>
    <row r="639" spans="1:8" x14ac:dyDescent="0.25">
      <c r="A639" s="2" t="str">
        <f>"DLS-16WW7F"</f>
        <v>DLS-16WW7F</v>
      </c>
      <c r="B639" s="2" t="str">
        <f>"Lightsaber MID Power LED Außenleuchte, 16W, 3000K, 31°x88°, L=586mm, alugrau"</f>
        <v>Lightsaber MID Power LED Außenleuchte, 16W, 3000K, 31°x88°, L=586mm, alugrau</v>
      </c>
      <c r="C639" s="16">
        <v>419</v>
      </c>
      <c r="D639" s="11">
        <v>289</v>
      </c>
      <c r="E639" s="7">
        <f t="shared" si="27"/>
        <v>1</v>
      </c>
      <c r="F639" s="22" t="str">
        <f>IF(ISERROR(VLOOKUP($A639,#REF!,3,0)),"x",VLOOKUP($A639,#REF!,3,FALSE))</f>
        <v>x</v>
      </c>
      <c r="G639" s="9">
        <f t="shared" si="28"/>
        <v>1</v>
      </c>
      <c r="H639" s="13">
        <f t="shared" si="29"/>
        <v>419</v>
      </c>
    </row>
    <row r="640" spans="1:8" x14ac:dyDescent="0.25">
      <c r="A640" s="2" t="str">
        <f>"DLS-24NW6F"</f>
        <v>DLS-24NW6F</v>
      </c>
      <c r="B640" s="2" t="str">
        <f>"Lightsaber Power LED Außenleuchte, 24,4W, 4000K, 45°, L=586mm, anthrazit"</f>
        <v>Lightsaber Power LED Außenleuchte, 24,4W, 4000K, 45°, L=586mm, anthrazit</v>
      </c>
      <c r="C640" s="16">
        <v>517.5</v>
      </c>
      <c r="D640" s="11">
        <v>289</v>
      </c>
      <c r="E640" s="7">
        <f t="shared" si="27"/>
        <v>1</v>
      </c>
      <c r="F640" s="22" t="str">
        <f>IF(ISERROR(VLOOKUP($A640,#REF!,3,0)),"x",VLOOKUP($A640,#REF!,3,FALSE))</f>
        <v>x</v>
      </c>
      <c r="G640" s="9">
        <f t="shared" si="28"/>
        <v>1</v>
      </c>
      <c r="H640" s="13">
        <f t="shared" si="29"/>
        <v>517.5</v>
      </c>
    </row>
    <row r="641" spans="1:8" x14ac:dyDescent="0.25">
      <c r="A641" s="2" t="str">
        <f>"DLS-24NW6S"</f>
        <v>DLS-24NW6S</v>
      </c>
      <c r="B641" s="2" t="str">
        <f>"Lightsaber Power LED Außenleuchte, 24,4W, 4000K, 14°, L=586mm, anthrazit"</f>
        <v>Lightsaber Power LED Außenleuchte, 24,4W, 4000K, 14°, L=586mm, anthrazit</v>
      </c>
      <c r="C641" s="16">
        <v>493.5</v>
      </c>
      <c r="D641" s="11">
        <v>289</v>
      </c>
      <c r="E641" s="7">
        <f t="shared" si="27"/>
        <v>1</v>
      </c>
      <c r="F641" s="22" t="str">
        <f>IF(ISERROR(VLOOKUP($A641,#REF!,3,0)),"x",VLOOKUP($A641,#REF!,3,FALSE))</f>
        <v>x</v>
      </c>
      <c r="G641" s="9">
        <f t="shared" si="28"/>
        <v>1</v>
      </c>
      <c r="H641" s="13">
        <f t="shared" si="29"/>
        <v>493.5</v>
      </c>
    </row>
    <row r="642" spans="1:8" x14ac:dyDescent="0.25">
      <c r="A642" s="2" t="str">
        <f>"DLS-24NW7F"</f>
        <v>DLS-24NW7F</v>
      </c>
      <c r="B642" s="2" t="str">
        <f>"Lightsaber Power LED Außenleuchte, 24,4W, 4000K, 45°, L=586mm, alugrau"</f>
        <v>Lightsaber Power LED Außenleuchte, 24,4W, 4000K, 45°, L=586mm, alugrau</v>
      </c>
      <c r="C642" s="16">
        <v>517.5</v>
      </c>
      <c r="D642" s="11">
        <v>289</v>
      </c>
      <c r="E642" s="7">
        <f t="shared" si="27"/>
        <v>1</v>
      </c>
      <c r="F642" s="22" t="str">
        <f>IF(ISERROR(VLOOKUP($A642,#REF!,3,0)),"x",VLOOKUP($A642,#REF!,3,FALSE))</f>
        <v>x</v>
      </c>
      <c r="G642" s="9">
        <f t="shared" si="28"/>
        <v>1</v>
      </c>
      <c r="H642" s="13">
        <f t="shared" si="29"/>
        <v>517.5</v>
      </c>
    </row>
    <row r="643" spans="1:8" x14ac:dyDescent="0.25">
      <c r="A643" s="2" t="str">
        <f>"DLS-24NW7S"</f>
        <v>DLS-24NW7S</v>
      </c>
      <c r="B643" s="2" t="str">
        <f>"Lightsaber Power LED Außenleuchte, 24,4W, 4000K, 14°, L=586mm, alugrau"</f>
        <v>Lightsaber Power LED Außenleuchte, 24,4W, 4000K, 14°, L=586mm, alugrau</v>
      </c>
      <c r="C643" s="16">
        <v>493.5</v>
      </c>
      <c r="D643" s="11">
        <v>289</v>
      </c>
      <c r="E643" s="7">
        <f t="shared" si="27"/>
        <v>1</v>
      </c>
      <c r="F643" s="22" t="str">
        <f>IF(ISERROR(VLOOKUP($A643,#REF!,3,0)),"x",VLOOKUP($A643,#REF!,3,FALSE))</f>
        <v>x</v>
      </c>
      <c r="G643" s="9">
        <f t="shared" si="28"/>
        <v>1</v>
      </c>
      <c r="H643" s="13">
        <f t="shared" si="29"/>
        <v>493.5</v>
      </c>
    </row>
    <row r="644" spans="1:8" x14ac:dyDescent="0.25">
      <c r="A644" s="2" t="str">
        <f>"DLS-24WW6F"</f>
        <v>DLS-24WW6F</v>
      </c>
      <c r="B644" s="2" t="str">
        <f>"Lightsaber Power LED Außenleuchte, 24,4W, 3000K, 45°, L=586mm, anthrazit"</f>
        <v>Lightsaber Power LED Außenleuchte, 24,4W, 3000K, 45°, L=586mm, anthrazit</v>
      </c>
      <c r="C644" s="16">
        <v>517.5</v>
      </c>
      <c r="D644" s="11">
        <v>289</v>
      </c>
      <c r="E644" s="7">
        <f t="shared" ref="E644:E707" si="30">G644</f>
        <v>1</v>
      </c>
      <c r="F644" s="22" t="str">
        <f>IF(ISERROR(VLOOKUP($A644,#REF!,3,0)),"x",VLOOKUP($A644,#REF!,3,FALSE))</f>
        <v>x</v>
      </c>
      <c r="G644" s="9">
        <f t="shared" ref="G644:G707" si="31">IF(C644&lt;F644,1,IF(C644&gt;F644,-1,0))</f>
        <v>1</v>
      </c>
      <c r="H644" s="13">
        <f t="shared" si="29"/>
        <v>517.5</v>
      </c>
    </row>
    <row r="645" spans="1:8" x14ac:dyDescent="0.25">
      <c r="A645" s="2" t="str">
        <f>"DLS-24WW6S"</f>
        <v>DLS-24WW6S</v>
      </c>
      <c r="B645" s="2" t="str">
        <f>"Lightsaber Power LED Außenleuchte, 24,4W, 3000K, 14°, L=586mm, anthrazit"</f>
        <v>Lightsaber Power LED Außenleuchte, 24,4W, 3000K, 14°, L=586mm, anthrazit</v>
      </c>
      <c r="C645" s="16">
        <v>493.5</v>
      </c>
      <c r="D645" s="11">
        <v>289</v>
      </c>
      <c r="E645" s="7">
        <f t="shared" si="30"/>
        <v>1</v>
      </c>
      <c r="F645" s="22" t="str">
        <f>IF(ISERROR(VLOOKUP($A645,#REF!,3,0)),"x",VLOOKUP($A645,#REF!,3,FALSE))</f>
        <v>x</v>
      </c>
      <c r="G645" s="9">
        <f t="shared" si="31"/>
        <v>1</v>
      </c>
      <c r="H645" s="13">
        <f t="shared" si="29"/>
        <v>493.5</v>
      </c>
    </row>
    <row r="646" spans="1:8" x14ac:dyDescent="0.25">
      <c r="A646" s="2" t="str">
        <f>"DLS-24WW7F"</f>
        <v>DLS-24WW7F</v>
      </c>
      <c r="B646" s="2" t="str">
        <f>"Lightsaber Power LED Außenleuchte, 24,4W, 3000K, 45°, L=586mm, alugrau"</f>
        <v>Lightsaber Power LED Außenleuchte, 24,4W, 3000K, 45°, L=586mm, alugrau</v>
      </c>
      <c r="C646" s="16">
        <v>517.5</v>
      </c>
      <c r="D646" s="11">
        <v>289</v>
      </c>
      <c r="E646" s="7">
        <f t="shared" si="30"/>
        <v>1</v>
      </c>
      <c r="F646" s="22" t="str">
        <f>IF(ISERROR(VLOOKUP($A646,#REF!,3,0)),"x",VLOOKUP($A646,#REF!,3,FALSE))</f>
        <v>x</v>
      </c>
      <c r="G646" s="9">
        <f t="shared" si="31"/>
        <v>1</v>
      </c>
      <c r="H646" s="13">
        <f t="shared" ref="H646:H709" si="32">IF(F646="x",C646,F646)</f>
        <v>517.5</v>
      </c>
    </row>
    <row r="647" spans="1:8" x14ac:dyDescent="0.25">
      <c r="A647" s="2" t="str">
        <f>"DLS-24WW7S"</f>
        <v>DLS-24WW7S</v>
      </c>
      <c r="B647" s="2" t="str">
        <f>"Lightsaber Power LED Außenleuchte, 24,4W, 3000K, 14°, L=586mm, alugrau"</f>
        <v>Lightsaber Power LED Außenleuchte, 24,4W, 3000K, 14°, L=586mm, alugrau</v>
      </c>
      <c r="C647" s="16">
        <v>493.5</v>
      </c>
      <c r="D647" s="11">
        <v>289</v>
      </c>
      <c r="E647" s="7">
        <f t="shared" si="30"/>
        <v>1</v>
      </c>
      <c r="F647" s="22" t="str">
        <f>IF(ISERROR(VLOOKUP($A647,#REF!,3,0)),"x",VLOOKUP($A647,#REF!,3,FALSE))</f>
        <v>x</v>
      </c>
      <c r="G647" s="9">
        <f t="shared" si="31"/>
        <v>1</v>
      </c>
      <c r="H647" s="13">
        <f t="shared" si="32"/>
        <v>493.5</v>
      </c>
    </row>
    <row r="648" spans="1:8" x14ac:dyDescent="0.25">
      <c r="A648" s="2" t="str">
        <f>"DLS-32NW6"</f>
        <v>DLS-32NW6</v>
      </c>
      <c r="B648" s="2" t="str">
        <f>"Lightsaber MID Power LED Außenleuchte, 32W, 4000K, 44°, L=1146mm, anthrazit"</f>
        <v>Lightsaber MID Power LED Außenleuchte, 32W, 4000K, 44°, L=1146mm, anthrazit</v>
      </c>
      <c r="C648" s="16">
        <v>547.5</v>
      </c>
      <c r="D648" s="11">
        <v>289</v>
      </c>
      <c r="E648" s="7">
        <f t="shared" si="30"/>
        <v>1</v>
      </c>
      <c r="F648" s="22" t="str">
        <f>IF(ISERROR(VLOOKUP($A648,#REF!,3,0)),"x",VLOOKUP($A648,#REF!,3,FALSE))</f>
        <v>x</v>
      </c>
      <c r="G648" s="9">
        <f t="shared" si="31"/>
        <v>1</v>
      </c>
      <c r="H648" s="13">
        <f t="shared" si="32"/>
        <v>547.5</v>
      </c>
    </row>
    <row r="649" spans="1:8" x14ac:dyDescent="0.25">
      <c r="A649" s="2" t="str">
        <f>"DLS-32NW6F"</f>
        <v>DLS-32NW6F</v>
      </c>
      <c r="B649" s="2" t="str">
        <f>"Lightsaber MID Power LED Außenleuchte, 32W, 4000K, 31°x88°, L=1146mm, anthrazit"</f>
        <v>Lightsaber MID Power LED Außenleuchte, 32W, 4000K, 31°x88°, L=1146mm, anthrazit</v>
      </c>
      <c r="C649" s="16">
        <v>547.5</v>
      </c>
      <c r="D649" s="11">
        <v>289</v>
      </c>
      <c r="E649" s="7">
        <f t="shared" si="30"/>
        <v>1</v>
      </c>
      <c r="F649" s="22" t="str">
        <f>IF(ISERROR(VLOOKUP($A649,#REF!,3,0)),"x",VLOOKUP($A649,#REF!,3,FALSE))</f>
        <v>x</v>
      </c>
      <c r="G649" s="9">
        <f t="shared" si="31"/>
        <v>1</v>
      </c>
      <c r="H649" s="13">
        <f t="shared" si="32"/>
        <v>547.5</v>
      </c>
    </row>
    <row r="650" spans="1:8" x14ac:dyDescent="0.25">
      <c r="A650" s="2" t="str">
        <f>"DLS-32NW7"</f>
        <v>DLS-32NW7</v>
      </c>
      <c r="B650" s="2" t="str">
        <f>"Lightsaber MID Power LED Außenleuchte, 32W, 4000K, 44°, L=1146mm, alugrau"</f>
        <v>Lightsaber MID Power LED Außenleuchte, 32W, 4000K, 44°, L=1146mm, alugrau</v>
      </c>
      <c r="C650" s="16">
        <v>547.5</v>
      </c>
      <c r="D650" s="11">
        <v>289</v>
      </c>
      <c r="E650" s="7">
        <f t="shared" si="30"/>
        <v>1</v>
      </c>
      <c r="F650" s="22" t="str">
        <f>IF(ISERROR(VLOOKUP($A650,#REF!,3,0)),"x",VLOOKUP($A650,#REF!,3,FALSE))</f>
        <v>x</v>
      </c>
      <c r="G650" s="9">
        <f t="shared" si="31"/>
        <v>1</v>
      </c>
      <c r="H650" s="13">
        <f t="shared" si="32"/>
        <v>547.5</v>
      </c>
    </row>
    <row r="651" spans="1:8" x14ac:dyDescent="0.25">
      <c r="A651" s="2" t="str">
        <f>"DLS-32NW7F"</f>
        <v>DLS-32NW7F</v>
      </c>
      <c r="B651" s="2" t="str">
        <f>"Lightsaber MID Power LED Außenleuchte, 32W, 4000K, 31°x88°, L=1146mm, alugrau"</f>
        <v>Lightsaber MID Power LED Außenleuchte, 32W, 4000K, 31°x88°, L=1146mm, alugrau</v>
      </c>
      <c r="C651" s="16">
        <v>547.5</v>
      </c>
      <c r="D651" s="11">
        <v>289</v>
      </c>
      <c r="E651" s="7">
        <f t="shared" si="30"/>
        <v>1</v>
      </c>
      <c r="F651" s="22" t="str">
        <f>IF(ISERROR(VLOOKUP($A651,#REF!,3,0)),"x",VLOOKUP($A651,#REF!,3,FALSE))</f>
        <v>x</v>
      </c>
      <c r="G651" s="9">
        <f t="shared" si="31"/>
        <v>1</v>
      </c>
      <c r="H651" s="13">
        <f t="shared" si="32"/>
        <v>547.5</v>
      </c>
    </row>
    <row r="652" spans="1:8" x14ac:dyDescent="0.25">
      <c r="A652" s="2" t="str">
        <f>"DLS-32WW6"</f>
        <v>DLS-32WW6</v>
      </c>
      <c r="B652" s="2" t="str">
        <f>"Lightsaber MID Power LED Außenleuchte, 32W, 3000K, 44°, L=1146mm, anthrazit"</f>
        <v>Lightsaber MID Power LED Außenleuchte, 32W, 3000K, 44°, L=1146mm, anthrazit</v>
      </c>
      <c r="C652" s="16">
        <v>547.5</v>
      </c>
      <c r="D652" s="11">
        <v>289</v>
      </c>
      <c r="E652" s="7">
        <f t="shared" si="30"/>
        <v>1</v>
      </c>
      <c r="F652" s="22" t="str">
        <f>IF(ISERROR(VLOOKUP($A652,#REF!,3,0)),"x",VLOOKUP($A652,#REF!,3,FALSE))</f>
        <v>x</v>
      </c>
      <c r="G652" s="9">
        <f t="shared" si="31"/>
        <v>1</v>
      </c>
      <c r="H652" s="13">
        <f t="shared" si="32"/>
        <v>547.5</v>
      </c>
    </row>
    <row r="653" spans="1:8" x14ac:dyDescent="0.25">
      <c r="A653" s="2" t="str">
        <f>"DLS-32WW6F"</f>
        <v>DLS-32WW6F</v>
      </c>
      <c r="B653" s="2" t="str">
        <f>"Lightsaber MID Power LED Außenleuchte, 32W, 3000K, 31°x88°, L=1146mm, anthrazit"</f>
        <v>Lightsaber MID Power LED Außenleuchte, 32W, 3000K, 31°x88°, L=1146mm, anthrazit</v>
      </c>
      <c r="C653" s="16">
        <v>547.5</v>
      </c>
      <c r="D653" s="11">
        <v>289</v>
      </c>
      <c r="E653" s="7">
        <f t="shared" si="30"/>
        <v>1</v>
      </c>
      <c r="F653" s="22" t="str">
        <f>IF(ISERROR(VLOOKUP($A653,#REF!,3,0)),"x",VLOOKUP($A653,#REF!,3,FALSE))</f>
        <v>x</v>
      </c>
      <c r="G653" s="9">
        <f t="shared" si="31"/>
        <v>1</v>
      </c>
      <c r="H653" s="13">
        <f t="shared" si="32"/>
        <v>547.5</v>
      </c>
    </row>
    <row r="654" spans="1:8" x14ac:dyDescent="0.25">
      <c r="A654" s="2" t="str">
        <f>"DLS-32WW7"</f>
        <v>DLS-32WW7</v>
      </c>
      <c r="B654" s="2" t="str">
        <f>"Lightsaber MID Power LED Außenleuchte, 32W, 3000K, 44°, L=1146mm, alugrau"</f>
        <v>Lightsaber MID Power LED Außenleuchte, 32W, 3000K, 44°, L=1146mm, alugrau</v>
      </c>
      <c r="C654" s="16">
        <v>547.5</v>
      </c>
      <c r="D654" s="11">
        <v>289</v>
      </c>
      <c r="E654" s="7">
        <f t="shared" si="30"/>
        <v>1</v>
      </c>
      <c r="F654" s="22" t="str">
        <f>IF(ISERROR(VLOOKUP($A654,#REF!,3,0)),"x",VLOOKUP($A654,#REF!,3,FALSE))</f>
        <v>x</v>
      </c>
      <c r="G654" s="9">
        <f t="shared" si="31"/>
        <v>1</v>
      </c>
      <c r="H654" s="13">
        <f t="shared" si="32"/>
        <v>547.5</v>
      </c>
    </row>
    <row r="655" spans="1:8" x14ac:dyDescent="0.25">
      <c r="A655" s="2" t="str">
        <f>"DLS-32WW7F"</f>
        <v>DLS-32WW7F</v>
      </c>
      <c r="B655" s="2" t="str">
        <f>"Lightsaber MID Power LED Außenleuchte, 32W, 3000K, 31°x88°, L=1146mm, alugrau"</f>
        <v>Lightsaber MID Power LED Außenleuchte, 32W, 3000K, 31°x88°, L=1146mm, alugrau</v>
      </c>
      <c r="C655" s="16">
        <v>547.5</v>
      </c>
      <c r="D655" s="11">
        <v>289</v>
      </c>
      <c r="E655" s="7">
        <f t="shared" si="30"/>
        <v>1</v>
      </c>
      <c r="F655" s="22" t="str">
        <f>IF(ISERROR(VLOOKUP($A655,#REF!,3,0)),"x",VLOOKUP($A655,#REF!,3,FALSE))</f>
        <v>x</v>
      </c>
      <c r="G655" s="9">
        <f t="shared" si="31"/>
        <v>1</v>
      </c>
      <c r="H655" s="13">
        <f t="shared" si="32"/>
        <v>547.5</v>
      </c>
    </row>
    <row r="656" spans="1:8" x14ac:dyDescent="0.25">
      <c r="A656" s="2" t="str">
        <f>"DLS-48NW6F"</f>
        <v>DLS-48NW6F</v>
      </c>
      <c r="B656" s="2" t="str">
        <f>"Lightsaber Power LED Außenleuchte, 48,8W, 4000K, 45°, L=1146mm, anthrazit"</f>
        <v>Lightsaber Power LED Außenleuchte, 48,8W, 4000K, 45°, L=1146mm, anthrazit</v>
      </c>
      <c r="C656" s="16">
        <v>791.5</v>
      </c>
      <c r="D656" s="11">
        <v>289</v>
      </c>
      <c r="E656" s="7">
        <f t="shared" si="30"/>
        <v>1</v>
      </c>
      <c r="F656" s="22" t="str">
        <f>IF(ISERROR(VLOOKUP($A656,#REF!,3,0)),"x",VLOOKUP($A656,#REF!,3,FALSE))</f>
        <v>x</v>
      </c>
      <c r="G656" s="9">
        <f t="shared" si="31"/>
        <v>1</v>
      </c>
      <c r="H656" s="13">
        <f t="shared" si="32"/>
        <v>791.5</v>
      </c>
    </row>
    <row r="657" spans="1:8" x14ac:dyDescent="0.25">
      <c r="A657" s="2" t="str">
        <f>"DLS-48NW6S"</f>
        <v>DLS-48NW6S</v>
      </c>
      <c r="B657" s="2" t="str">
        <f>"Lightsaber Power LED Außenleuchte, 48,8W, 4000K, 14°, L=1146mm, anthrazit"</f>
        <v>Lightsaber Power LED Außenleuchte, 48,8W, 4000K, 14°, L=1146mm, anthrazit</v>
      </c>
      <c r="C657" s="16">
        <v>791.5</v>
      </c>
      <c r="D657" s="11">
        <v>289</v>
      </c>
      <c r="E657" s="7">
        <f t="shared" si="30"/>
        <v>1</v>
      </c>
      <c r="F657" s="22" t="str">
        <f>IF(ISERROR(VLOOKUP($A657,#REF!,3,0)),"x",VLOOKUP($A657,#REF!,3,FALSE))</f>
        <v>x</v>
      </c>
      <c r="G657" s="9">
        <f t="shared" si="31"/>
        <v>1</v>
      </c>
      <c r="H657" s="13">
        <f t="shared" si="32"/>
        <v>791.5</v>
      </c>
    </row>
    <row r="658" spans="1:8" x14ac:dyDescent="0.25">
      <c r="A658" s="2" t="str">
        <f>"DLS-48NW7F"</f>
        <v>DLS-48NW7F</v>
      </c>
      <c r="B658" s="2" t="str">
        <f>"Lightsaber Power LED Außenleuchte, 48,8W, 4000K, 45°, L=1146mm, alugrau"</f>
        <v>Lightsaber Power LED Außenleuchte, 48,8W, 4000K, 45°, L=1146mm, alugrau</v>
      </c>
      <c r="C658" s="16">
        <v>791.5</v>
      </c>
      <c r="D658" s="11">
        <v>289</v>
      </c>
      <c r="E658" s="7">
        <f t="shared" si="30"/>
        <v>1</v>
      </c>
      <c r="F658" s="22" t="str">
        <f>IF(ISERROR(VLOOKUP($A658,#REF!,3,0)),"x",VLOOKUP($A658,#REF!,3,FALSE))</f>
        <v>x</v>
      </c>
      <c r="G658" s="9">
        <f t="shared" si="31"/>
        <v>1</v>
      </c>
      <c r="H658" s="13">
        <f t="shared" si="32"/>
        <v>791.5</v>
      </c>
    </row>
    <row r="659" spans="1:8" x14ac:dyDescent="0.25">
      <c r="A659" s="2" t="str">
        <f>"DLS-48NW7S"</f>
        <v>DLS-48NW7S</v>
      </c>
      <c r="B659" s="2" t="str">
        <f>"Lightsaber Power LED Außenleuchte, 48,8W, 4000K, 14°, L=1146mm, alugrau"</f>
        <v>Lightsaber Power LED Außenleuchte, 48,8W, 4000K, 14°, L=1146mm, alugrau</v>
      </c>
      <c r="C659" s="16">
        <v>791.5</v>
      </c>
      <c r="D659" s="11">
        <v>289</v>
      </c>
      <c r="E659" s="7">
        <f t="shared" si="30"/>
        <v>1</v>
      </c>
      <c r="F659" s="22" t="str">
        <f>IF(ISERROR(VLOOKUP($A659,#REF!,3,0)),"x",VLOOKUP($A659,#REF!,3,FALSE))</f>
        <v>x</v>
      </c>
      <c r="G659" s="9">
        <f t="shared" si="31"/>
        <v>1</v>
      </c>
      <c r="H659" s="13">
        <f t="shared" si="32"/>
        <v>791.5</v>
      </c>
    </row>
    <row r="660" spans="1:8" x14ac:dyDescent="0.25">
      <c r="A660" s="2" t="str">
        <f>"DLS-48WW6F"</f>
        <v>DLS-48WW6F</v>
      </c>
      <c r="B660" s="2" t="str">
        <f>"Lightsaber Power LED Außenleuchte, 48,8W, 3000K, 45°, L=1146mm, anthrazit"</f>
        <v>Lightsaber Power LED Außenleuchte, 48,8W, 3000K, 45°, L=1146mm, anthrazit</v>
      </c>
      <c r="C660" s="16">
        <v>791.5</v>
      </c>
      <c r="D660" s="11">
        <v>289</v>
      </c>
      <c r="E660" s="7">
        <f t="shared" si="30"/>
        <v>1</v>
      </c>
      <c r="F660" s="22" t="str">
        <f>IF(ISERROR(VLOOKUP($A660,#REF!,3,0)),"x",VLOOKUP($A660,#REF!,3,FALSE))</f>
        <v>x</v>
      </c>
      <c r="G660" s="9">
        <f t="shared" si="31"/>
        <v>1</v>
      </c>
      <c r="H660" s="13">
        <f t="shared" si="32"/>
        <v>791.5</v>
      </c>
    </row>
    <row r="661" spans="1:8" x14ac:dyDescent="0.25">
      <c r="A661" s="2" t="str">
        <f>"DLS-48WW6S"</f>
        <v>DLS-48WW6S</v>
      </c>
      <c r="B661" s="2" t="str">
        <f>"Lightsaber Power LED Außenleuchte, 48,8W, 3000K, 14°, L=1146mm, anthrazit"</f>
        <v>Lightsaber Power LED Außenleuchte, 48,8W, 3000K, 14°, L=1146mm, anthrazit</v>
      </c>
      <c r="C661" s="16">
        <v>791.5</v>
      </c>
      <c r="D661" s="11">
        <v>289</v>
      </c>
      <c r="E661" s="7">
        <f t="shared" si="30"/>
        <v>1</v>
      </c>
      <c r="F661" s="22" t="str">
        <f>IF(ISERROR(VLOOKUP($A661,#REF!,3,0)),"x",VLOOKUP($A661,#REF!,3,FALSE))</f>
        <v>x</v>
      </c>
      <c r="G661" s="9">
        <f t="shared" si="31"/>
        <v>1</v>
      </c>
      <c r="H661" s="13">
        <f t="shared" si="32"/>
        <v>791.5</v>
      </c>
    </row>
    <row r="662" spans="1:8" x14ac:dyDescent="0.25">
      <c r="A662" s="2" t="str">
        <f>"DLS-48WW7F"</f>
        <v>DLS-48WW7F</v>
      </c>
      <c r="B662" s="2" t="str">
        <f>"Lightsaber Power LED Außenleuchte, 48,8W, 3000K, 45°, L=1146mm, alugrau"</f>
        <v>Lightsaber Power LED Außenleuchte, 48,8W, 3000K, 45°, L=1146mm, alugrau</v>
      </c>
      <c r="C662" s="16">
        <v>791.5</v>
      </c>
      <c r="D662" s="11">
        <v>289</v>
      </c>
      <c r="E662" s="7">
        <f t="shared" si="30"/>
        <v>1</v>
      </c>
      <c r="F662" s="22" t="str">
        <f>IF(ISERROR(VLOOKUP($A662,#REF!,3,0)),"x",VLOOKUP($A662,#REF!,3,FALSE))</f>
        <v>x</v>
      </c>
      <c r="G662" s="9">
        <f t="shared" si="31"/>
        <v>1</v>
      </c>
      <c r="H662" s="13">
        <f t="shared" si="32"/>
        <v>791.5</v>
      </c>
    </row>
    <row r="663" spans="1:8" x14ac:dyDescent="0.25">
      <c r="A663" s="2" t="str">
        <f>"DLS-48WW7S"</f>
        <v>DLS-48WW7S</v>
      </c>
      <c r="B663" s="2" t="str">
        <f>"Lightsaber Power LED Außenleuchte, 48,8W, 3000K, 14°, L=1146mm, alugrau"</f>
        <v>Lightsaber Power LED Außenleuchte, 48,8W, 3000K, 14°, L=1146mm, alugrau</v>
      </c>
      <c r="C663" s="16">
        <v>791.5</v>
      </c>
      <c r="D663" s="11">
        <v>289</v>
      </c>
      <c r="E663" s="7">
        <f t="shared" si="30"/>
        <v>1</v>
      </c>
      <c r="F663" s="22" t="str">
        <f>IF(ISERROR(VLOOKUP($A663,#REF!,3,0)),"x",VLOOKUP($A663,#REF!,3,FALSE))</f>
        <v>x</v>
      </c>
      <c r="G663" s="9">
        <f t="shared" si="31"/>
        <v>1</v>
      </c>
      <c r="H663" s="13">
        <f t="shared" si="32"/>
        <v>791.5</v>
      </c>
    </row>
    <row r="664" spans="1:8" x14ac:dyDescent="0.25">
      <c r="A664" s="2" t="str">
        <f>"DRAS-12SW1"</f>
        <v>DRAS-12SW1</v>
      </c>
      <c r="B664" s="2" t="str">
        <f>"Lineare Einbauleuchte mit Einzelraster - Optik, schwenkbar, "</f>
        <v xml:space="preserve">Lineare Einbauleuchte mit Einzelraster - Optik, schwenkbar, </v>
      </c>
      <c r="C664" s="16">
        <v>95</v>
      </c>
      <c r="D664" s="11">
        <v>115</v>
      </c>
      <c r="E664" s="7">
        <f t="shared" si="30"/>
        <v>1</v>
      </c>
      <c r="F664" s="22" t="str">
        <f>IF(ISERROR(VLOOKUP($A664,#REF!,3,0)),"x",VLOOKUP($A664,#REF!,3,FALSE))</f>
        <v>x</v>
      </c>
      <c r="G664" s="9">
        <f t="shared" si="31"/>
        <v>1</v>
      </c>
      <c r="H664" s="13">
        <f t="shared" si="32"/>
        <v>95</v>
      </c>
    </row>
    <row r="665" spans="1:8" x14ac:dyDescent="0.25">
      <c r="A665" s="2" t="str">
        <f>"DRAS-12SW2"</f>
        <v>DRAS-12SW2</v>
      </c>
      <c r="B665" s="2" t="str">
        <f>"Lineare Einbauleuchte mit Einzelraster - Optik, schwenkbar, "</f>
        <v xml:space="preserve">Lineare Einbauleuchte mit Einzelraster - Optik, schwenkbar, </v>
      </c>
      <c r="C665" s="16">
        <v>95</v>
      </c>
      <c r="D665" s="11">
        <v>115</v>
      </c>
      <c r="E665" s="7">
        <f t="shared" si="30"/>
        <v>1</v>
      </c>
      <c r="F665" s="22" t="str">
        <f>IF(ISERROR(VLOOKUP($A665,#REF!,3,0)),"x",VLOOKUP($A665,#REF!,3,FALSE))</f>
        <v>x</v>
      </c>
      <c r="G665" s="9">
        <f t="shared" si="31"/>
        <v>1</v>
      </c>
      <c r="H665" s="13">
        <f t="shared" si="32"/>
        <v>95</v>
      </c>
    </row>
    <row r="666" spans="1:8" x14ac:dyDescent="0.25">
      <c r="A666" s="2" t="str">
        <f>"DRAS-24SW1"</f>
        <v>DRAS-24SW1</v>
      </c>
      <c r="B666" s="2" t="str">
        <f>"Lineare Einbauleuchte mit Einzelraster - Optik, schwenkbar, "</f>
        <v xml:space="preserve">Lineare Einbauleuchte mit Einzelraster - Optik, schwenkbar, </v>
      </c>
      <c r="C666" s="16">
        <v>140</v>
      </c>
      <c r="D666" s="11">
        <v>115</v>
      </c>
      <c r="E666" s="7">
        <f t="shared" si="30"/>
        <v>1</v>
      </c>
      <c r="F666" s="22" t="str">
        <f>IF(ISERROR(VLOOKUP($A666,#REF!,3,0)),"x",VLOOKUP($A666,#REF!,3,FALSE))</f>
        <v>x</v>
      </c>
      <c r="G666" s="9">
        <f t="shared" si="31"/>
        <v>1</v>
      </c>
      <c r="H666" s="13">
        <f t="shared" si="32"/>
        <v>140</v>
      </c>
    </row>
    <row r="667" spans="1:8" x14ac:dyDescent="0.25">
      <c r="A667" s="2" t="str">
        <f>"DRAS-24SW2"</f>
        <v>DRAS-24SW2</v>
      </c>
      <c r="B667" s="2" t="str">
        <f>"Lineare Einbauleuchte mit Einzelraster - Optik, schwenkbar, "</f>
        <v xml:space="preserve">Lineare Einbauleuchte mit Einzelraster - Optik, schwenkbar, </v>
      </c>
      <c r="C667" s="16">
        <v>140</v>
      </c>
      <c r="D667" s="11">
        <v>115</v>
      </c>
      <c r="E667" s="7">
        <f t="shared" si="30"/>
        <v>1</v>
      </c>
      <c r="F667" s="22" t="str">
        <f>IF(ISERROR(VLOOKUP($A667,#REF!,3,0)),"x",VLOOKUP($A667,#REF!,3,FALSE))</f>
        <v>x</v>
      </c>
      <c r="G667" s="9">
        <f t="shared" si="31"/>
        <v>1</v>
      </c>
      <c r="H667" s="13">
        <f t="shared" si="32"/>
        <v>140</v>
      </c>
    </row>
    <row r="668" spans="1:8" x14ac:dyDescent="0.25">
      <c r="A668" s="2" t="str">
        <f>"DX-54NW08"</f>
        <v>DX-54NW08</v>
      </c>
      <c r="B668" s="2" t="str">
        <f>"DX Wand- und Bodenaufbaustrahler, LED 6W, 4000K, 52°, Honeycomb, bronze elox. "</f>
        <v xml:space="preserve">DX Wand- und Bodenaufbaustrahler, LED 6W, 4000K, 52°, Honeycomb, bronze elox. </v>
      </c>
      <c r="C668" s="16">
        <v>175</v>
      </c>
      <c r="D668" s="11">
        <v>307</v>
      </c>
      <c r="E668" s="7">
        <f t="shared" si="30"/>
        <v>1</v>
      </c>
      <c r="F668" s="22" t="str">
        <f>IF(ISERROR(VLOOKUP($A668,#REF!,3,0)),"x",VLOOKUP($A668,#REF!,3,FALSE))</f>
        <v>x</v>
      </c>
      <c r="G668" s="9">
        <f t="shared" si="31"/>
        <v>1</v>
      </c>
      <c r="H668" s="13">
        <f t="shared" si="32"/>
        <v>175</v>
      </c>
    </row>
    <row r="669" spans="1:8" x14ac:dyDescent="0.25">
      <c r="A669" s="2" t="str">
        <f>"DX-54NW08S"</f>
        <v>DX-54NW08S</v>
      </c>
      <c r="B669" s="2" t="str">
        <f>"DX Wand- und Bodenaufbaustrahler, LED 6W, 4000K, 26°, Honeycomb, bronze elox. "</f>
        <v xml:space="preserve">DX Wand- und Bodenaufbaustrahler, LED 6W, 4000K, 26°, Honeycomb, bronze elox. </v>
      </c>
      <c r="C669" s="16">
        <v>175</v>
      </c>
      <c r="D669" s="11">
        <v>307</v>
      </c>
      <c r="E669" s="7">
        <f t="shared" si="30"/>
        <v>1</v>
      </c>
      <c r="F669" s="22" t="str">
        <f>IF(ISERROR(VLOOKUP($A669,#REF!,3,0)),"x",VLOOKUP($A669,#REF!,3,FALSE))</f>
        <v>x</v>
      </c>
      <c r="G669" s="9">
        <f t="shared" si="31"/>
        <v>1</v>
      </c>
      <c r="H669" s="13">
        <f t="shared" si="32"/>
        <v>175</v>
      </c>
    </row>
    <row r="670" spans="1:8" x14ac:dyDescent="0.25">
      <c r="A670" s="2" t="str">
        <f>"DX-54NW7"</f>
        <v>DX-54NW7</v>
      </c>
      <c r="B670" s="2" t="str">
        <f>"DX Wand- und Bodenaufbaustrahler, LED 6W, 4000K, 52°, Honeycomb, alu elox. "</f>
        <v xml:space="preserve">DX Wand- und Bodenaufbaustrahler, LED 6W, 4000K, 52°, Honeycomb, alu elox. </v>
      </c>
      <c r="C670" s="16">
        <v>175</v>
      </c>
      <c r="D670" s="11">
        <v>307</v>
      </c>
      <c r="E670" s="7">
        <f t="shared" si="30"/>
        <v>1</v>
      </c>
      <c r="F670" s="22" t="str">
        <f>IF(ISERROR(VLOOKUP($A670,#REF!,3,0)),"x",VLOOKUP($A670,#REF!,3,FALSE))</f>
        <v>x</v>
      </c>
      <c r="G670" s="9">
        <f t="shared" si="31"/>
        <v>1</v>
      </c>
      <c r="H670" s="13">
        <f t="shared" si="32"/>
        <v>175</v>
      </c>
    </row>
    <row r="671" spans="1:8" x14ac:dyDescent="0.25">
      <c r="A671" s="2" t="str">
        <f>"DX-54NW7S"</f>
        <v>DX-54NW7S</v>
      </c>
      <c r="B671" s="2" t="str">
        <f>"DX Wand- und Bodenaufbaustrahler, LED 6W, 4000K, 26°, Honeycomb, alu elox. "</f>
        <v xml:space="preserve">DX Wand- und Bodenaufbaustrahler, LED 6W, 4000K, 26°, Honeycomb, alu elox. </v>
      </c>
      <c r="C671" s="16">
        <v>175</v>
      </c>
      <c r="D671" s="11">
        <v>307</v>
      </c>
      <c r="E671" s="7">
        <f t="shared" si="30"/>
        <v>1</v>
      </c>
      <c r="F671" s="22" t="str">
        <f>IF(ISERROR(VLOOKUP($A671,#REF!,3,0)),"x",VLOOKUP($A671,#REF!,3,FALSE))</f>
        <v>x</v>
      </c>
      <c r="G671" s="9">
        <f t="shared" si="31"/>
        <v>1</v>
      </c>
      <c r="H671" s="13">
        <f t="shared" si="32"/>
        <v>175</v>
      </c>
    </row>
    <row r="672" spans="1:8" x14ac:dyDescent="0.25">
      <c r="A672" s="2" t="str">
        <f>"DX-54WW08"</f>
        <v>DX-54WW08</v>
      </c>
      <c r="B672" s="2" t="str">
        <f>"DX Wand- und Bodenaufbaustrahler, LED 6W, 3000K, 52°, Honeycomb, bronze elox."</f>
        <v>DX Wand- und Bodenaufbaustrahler, LED 6W, 3000K, 52°, Honeycomb, bronze elox.</v>
      </c>
      <c r="C672" s="16">
        <v>175</v>
      </c>
      <c r="D672" s="11">
        <v>307</v>
      </c>
      <c r="E672" s="7">
        <f t="shared" si="30"/>
        <v>1</v>
      </c>
      <c r="F672" s="22" t="str">
        <f>IF(ISERROR(VLOOKUP($A672,#REF!,3,0)),"x",VLOOKUP($A672,#REF!,3,FALSE))</f>
        <v>x</v>
      </c>
      <c r="G672" s="9">
        <f t="shared" si="31"/>
        <v>1</v>
      </c>
      <c r="H672" s="13">
        <f t="shared" si="32"/>
        <v>175</v>
      </c>
    </row>
    <row r="673" spans="1:8" x14ac:dyDescent="0.25">
      <c r="A673" s="2" t="str">
        <f>"DX-54WW08S"</f>
        <v>DX-54WW08S</v>
      </c>
      <c r="B673" s="2" t="str">
        <f>"DX Wand- und Bodenaufbaustrahler, LED 6W, 3000K, 26°, Honeycomb, bronze elox."</f>
        <v>DX Wand- und Bodenaufbaustrahler, LED 6W, 3000K, 26°, Honeycomb, bronze elox.</v>
      </c>
      <c r="C673" s="16">
        <v>175</v>
      </c>
      <c r="D673" s="11">
        <v>307</v>
      </c>
      <c r="E673" s="7">
        <f t="shared" si="30"/>
        <v>1</v>
      </c>
      <c r="F673" s="22" t="str">
        <f>IF(ISERROR(VLOOKUP($A673,#REF!,3,0)),"x",VLOOKUP($A673,#REF!,3,FALSE))</f>
        <v>x</v>
      </c>
      <c r="G673" s="9">
        <f t="shared" si="31"/>
        <v>1</v>
      </c>
      <c r="H673" s="13">
        <f t="shared" si="32"/>
        <v>175</v>
      </c>
    </row>
    <row r="674" spans="1:8" x14ac:dyDescent="0.25">
      <c r="A674" s="2" t="str">
        <f>"DX-54WW7"</f>
        <v>DX-54WW7</v>
      </c>
      <c r="B674" s="2" t="str">
        <f>"DX Wand- und Bodenaufbaustrahler, LED 6W, 3000K, 52°, Honeycomb, alu eloxiert"</f>
        <v>DX Wand- und Bodenaufbaustrahler, LED 6W, 3000K, 52°, Honeycomb, alu eloxiert</v>
      </c>
      <c r="C674" s="16">
        <v>175</v>
      </c>
      <c r="D674" s="11">
        <v>307</v>
      </c>
      <c r="E674" s="7">
        <f t="shared" si="30"/>
        <v>1</v>
      </c>
      <c r="F674" s="22" t="str">
        <f>IF(ISERROR(VLOOKUP($A674,#REF!,3,0)),"x",VLOOKUP($A674,#REF!,3,FALSE))</f>
        <v>x</v>
      </c>
      <c r="G674" s="9">
        <f t="shared" si="31"/>
        <v>1</v>
      </c>
      <c r="H674" s="13">
        <f t="shared" si="32"/>
        <v>175</v>
      </c>
    </row>
    <row r="675" spans="1:8" x14ac:dyDescent="0.25">
      <c r="A675" s="2" t="str">
        <f>"DX-54WW7S"</f>
        <v>DX-54WW7S</v>
      </c>
      <c r="B675" s="2" t="str">
        <f>"DX Wand- und Bodenaufbaustrahler, LED 6W, 3000K, 26°, Honeycomb, alu eloxiert"</f>
        <v>DX Wand- und Bodenaufbaustrahler, LED 6W, 3000K, 26°, Honeycomb, alu eloxiert</v>
      </c>
      <c r="C675" s="16">
        <v>175</v>
      </c>
      <c r="D675" s="11">
        <v>307</v>
      </c>
      <c r="E675" s="7">
        <f t="shared" si="30"/>
        <v>1</v>
      </c>
      <c r="F675" s="22" t="str">
        <f>IF(ISERROR(VLOOKUP($A675,#REF!,3,0)),"x",VLOOKUP($A675,#REF!,3,FALSE))</f>
        <v>x</v>
      </c>
      <c r="G675" s="9">
        <f t="shared" si="31"/>
        <v>1</v>
      </c>
      <c r="H675" s="13">
        <f t="shared" si="32"/>
        <v>175</v>
      </c>
    </row>
    <row r="676" spans="1:8" x14ac:dyDescent="0.25">
      <c r="A676" s="2" t="str">
        <f>"DXS-54NW08"</f>
        <v>DXS-54NW08</v>
      </c>
      <c r="B676" s="2" t="str">
        <f>"DX STEM54 Bodenaufbaustrahler, LED 6W, 4000K, 52°, H=70, Honeycomb, bronze elox."</f>
        <v>DX STEM54 Bodenaufbaustrahler, LED 6W, 4000K, 52°, H=70, Honeycomb, bronze elox.</v>
      </c>
      <c r="C676" s="16">
        <v>202.5</v>
      </c>
      <c r="D676" s="11">
        <v>307</v>
      </c>
      <c r="E676" s="7">
        <f t="shared" si="30"/>
        <v>1</v>
      </c>
      <c r="F676" s="22" t="str">
        <f>IF(ISERROR(VLOOKUP($A676,#REF!,3,0)),"x",VLOOKUP($A676,#REF!,3,FALSE))</f>
        <v>x</v>
      </c>
      <c r="G676" s="9">
        <f t="shared" si="31"/>
        <v>1</v>
      </c>
      <c r="H676" s="13">
        <f t="shared" si="32"/>
        <v>202.5</v>
      </c>
    </row>
    <row r="677" spans="1:8" x14ac:dyDescent="0.25">
      <c r="A677" s="2" t="str">
        <f>"DXS-54NW08S"</f>
        <v>DXS-54NW08S</v>
      </c>
      <c r="B677" s="2" t="str">
        <f>"DX STEM54 Bodenaufbaustrahler, LED 6W, 4000K, 26°, H=70, Honeycomb, bronze elox."</f>
        <v>DX STEM54 Bodenaufbaustrahler, LED 6W, 4000K, 26°, H=70, Honeycomb, bronze elox.</v>
      </c>
      <c r="C677" s="16">
        <v>202.5</v>
      </c>
      <c r="D677" s="11">
        <v>307</v>
      </c>
      <c r="E677" s="7">
        <f t="shared" si="30"/>
        <v>1</v>
      </c>
      <c r="F677" s="22" t="str">
        <f>IF(ISERROR(VLOOKUP($A677,#REF!,3,0)),"x",VLOOKUP($A677,#REF!,3,FALSE))</f>
        <v>x</v>
      </c>
      <c r="G677" s="9">
        <f t="shared" si="31"/>
        <v>1</v>
      </c>
      <c r="H677" s="13">
        <f t="shared" si="32"/>
        <v>202.5</v>
      </c>
    </row>
    <row r="678" spans="1:8" x14ac:dyDescent="0.25">
      <c r="A678" s="2" t="str">
        <f>"DXS-54NW7"</f>
        <v>DXS-54NW7</v>
      </c>
      <c r="B678" s="2" t="str">
        <f>"DX STEM54 Bodenaufbaustrahler, LED 6W, 4000K, 52°, H=70, Honeycomb, alu elox."</f>
        <v>DX STEM54 Bodenaufbaustrahler, LED 6W, 4000K, 52°, H=70, Honeycomb, alu elox.</v>
      </c>
      <c r="C678" s="16">
        <v>202.5</v>
      </c>
      <c r="D678" s="11">
        <v>307</v>
      </c>
      <c r="E678" s="7">
        <f t="shared" si="30"/>
        <v>1</v>
      </c>
      <c r="F678" s="22" t="str">
        <f>IF(ISERROR(VLOOKUP($A678,#REF!,3,0)),"x",VLOOKUP($A678,#REF!,3,FALSE))</f>
        <v>x</v>
      </c>
      <c r="G678" s="9">
        <f t="shared" si="31"/>
        <v>1</v>
      </c>
      <c r="H678" s="13">
        <f t="shared" si="32"/>
        <v>202.5</v>
      </c>
    </row>
    <row r="679" spans="1:8" x14ac:dyDescent="0.25">
      <c r="A679" s="2" t="str">
        <f>"DXS-54NW7S"</f>
        <v>DXS-54NW7S</v>
      </c>
      <c r="B679" s="2" t="str">
        <f>"DX STEM54 Bodenaufbaustrahler, LED 6W, 4000K, 26°, H=70, Honeycomb, alu elox."</f>
        <v>DX STEM54 Bodenaufbaustrahler, LED 6W, 4000K, 26°, H=70, Honeycomb, alu elox.</v>
      </c>
      <c r="C679" s="16">
        <v>202.5</v>
      </c>
      <c r="D679" s="11">
        <v>307</v>
      </c>
      <c r="E679" s="7">
        <f t="shared" si="30"/>
        <v>1</v>
      </c>
      <c r="F679" s="22" t="str">
        <f>IF(ISERROR(VLOOKUP($A679,#REF!,3,0)),"x",VLOOKUP($A679,#REF!,3,FALSE))</f>
        <v>x</v>
      </c>
      <c r="G679" s="9">
        <f t="shared" si="31"/>
        <v>1</v>
      </c>
      <c r="H679" s="13">
        <f t="shared" si="32"/>
        <v>202.5</v>
      </c>
    </row>
    <row r="680" spans="1:8" x14ac:dyDescent="0.25">
      <c r="A680" s="2" t="str">
        <f>"DXS-54WW08"</f>
        <v>DXS-54WW08</v>
      </c>
      <c r="B680" s="2" t="str">
        <f>"DX STEM54 Bodenaufbaustrahler, LED 6W, 3000K, 52°, H=70, Honeycomb, bronze elox."</f>
        <v>DX STEM54 Bodenaufbaustrahler, LED 6W, 3000K, 52°, H=70, Honeycomb, bronze elox.</v>
      </c>
      <c r="C680" s="16">
        <v>202.5</v>
      </c>
      <c r="D680" s="11">
        <v>307</v>
      </c>
      <c r="E680" s="7">
        <f t="shared" si="30"/>
        <v>1</v>
      </c>
      <c r="F680" s="22" t="str">
        <f>IF(ISERROR(VLOOKUP($A680,#REF!,3,0)),"x",VLOOKUP($A680,#REF!,3,FALSE))</f>
        <v>x</v>
      </c>
      <c r="G680" s="9">
        <f t="shared" si="31"/>
        <v>1</v>
      </c>
      <c r="H680" s="13">
        <f t="shared" si="32"/>
        <v>202.5</v>
      </c>
    </row>
    <row r="681" spans="1:8" x14ac:dyDescent="0.25">
      <c r="A681" s="2" t="str">
        <f>"DXS-54WW08S"</f>
        <v>DXS-54WW08S</v>
      </c>
      <c r="B681" s="2" t="str">
        <f>"DX STEM54 Bodenaufbaustrahler, LED 6W, 3000K, 26°, H=70, Honeycomb, bronze elox."</f>
        <v>DX STEM54 Bodenaufbaustrahler, LED 6W, 3000K, 26°, H=70, Honeycomb, bronze elox.</v>
      </c>
      <c r="C681" s="16">
        <v>202.5</v>
      </c>
      <c r="D681" s="11">
        <v>307</v>
      </c>
      <c r="E681" s="7">
        <f t="shared" si="30"/>
        <v>1</v>
      </c>
      <c r="F681" s="22" t="str">
        <f>IF(ISERROR(VLOOKUP($A681,#REF!,3,0)),"x",VLOOKUP($A681,#REF!,3,FALSE))</f>
        <v>x</v>
      </c>
      <c r="G681" s="9">
        <f t="shared" si="31"/>
        <v>1</v>
      </c>
      <c r="H681" s="13">
        <f t="shared" si="32"/>
        <v>202.5</v>
      </c>
    </row>
    <row r="682" spans="1:8" x14ac:dyDescent="0.25">
      <c r="A682" s="2" t="str">
        <f>"DXS-54WW7"</f>
        <v>DXS-54WW7</v>
      </c>
      <c r="B682" s="2" t="str">
        <f>"DX STEM54 Bodenaufbaustrahler, LED 6W, 3000K, 52°, H=70, Honeycomb, alu eloxiert"</f>
        <v>DX STEM54 Bodenaufbaustrahler, LED 6W, 3000K, 52°, H=70, Honeycomb, alu eloxiert</v>
      </c>
      <c r="C682" s="16">
        <v>202.5</v>
      </c>
      <c r="D682" s="11">
        <v>307</v>
      </c>
      <c r="E682" s="7">
        <f t="shared" si="30"/>
        <v>1</v>
      </c>
      <c r="F682" s="22" t="str">
        <f>IF(ISERROR(VLOOKUP($A682,#REF!,3,0)),"x",VLOOKUP($A682,#REF!,3,FALSE))</f>
        <v>x</v>
      </c>
      <c r="G682" s="9">
        <f t="shared" si="31"/>
        <v>1</v>
      </c>
      <c r="H682" s="13">
        <f t="shared" si="32"/>
        <v>202.5</v>
      </c>
    </row>
    <row r="683" spans="1:8" x14ac:dyDescent="0.25">
      <c r="A683" s="2" t="str">
        <f>"DXS-54WW7S"</f>
        <v>DXS-54WW7S</v>
      </c>
      <c r="B683" s="2" t="str">
        <f>"DX STEM54 Bodenaufbaustrahler, LED 6W, 3000K, 26°, H=70, Honeycomb, alu eloxiert"</f>
        <v>DX STEM54 Bodenaufbaustrahler, LED 6W, 3000K, 26°, H=70, Honeycomb, alu eloxiert</v>
      </c>
      <c r="C683" s="16">
        <v>202.5</v>
      </c>
      <c r="D683" s="11">
        <v>307</v>
      </c>
      <c r="E683" s="7">
        <f t="shared" si="30"/>
        <v>1</v>
      </c>
      <c r="F683" s="22" t="str">
        <f>IF(ISERROR(VLOOKUP($A683,#REF!,3,0)),"x",VLOOKUP($A683,#REF!,3,FALSE))</f>
        <v>x</v>
      </c>
      <c r="G683" s="9">
        <f t="shared" si="31"/>
        <v>1</v>
      </c>
      <c r="H683" s="13">
        <f t="shared" si="32"/>
        <v>202.5</v>
      </c>
    </row>
    <row r="684" spans="1:8" x14ac:dyDescent="0.25">
      <c r="A684" s="2" t="str">
        <f>"DXSL-54NW08"</f>
        <v>DXSL-54NW08</v>
      </c>
      <c r="B684" s="2" t="str">
        <f>"DX STEM54 Bodenaufbaustrahler, LED 6W, 4000K, 52°, H=510, Honeycomb, bronze elox"</f>
        <v>DX STEM54 Bodenaufbaustrahler, LED 6W, 4000K, 52°, H=510, Honeycomb, bronze elox</v>
      </c>
      <c r="C684" s="16">
        <v>216.25</v>
      </c>
      <c r="D684" s="11">
        <v>307</v>
      </c>
      <c r="E684" s="7">
        <f t="shared" si="30"/>
        <v>1</v>
      </c>
      <c r="F684" s="22" t="str">
        <f>IF(ISERROR(VLOOKUP($A684,#REF!,3,0)),"x",VLOOKUP($A684,#REF!,3,FALSE))</f>
        <v>x</v>
      </c>
      <c r="G684" s="9">
        <f t="shared" si="31"/>
        <v>1</v>
      </c>
      <c r="H684" s="13">
        <f t="shared" si="32"/>
        <v>216.25</v>
      </c>
    </row>
    <row r="685" spans="1:8" x14ac:dyDescent="0.25">
      <c r="A685" s="2" t="str">
        <f>"DXSL-54NW08S"</f>
        <v>DXSL-54NW08S</v>
      </c>
      <c r="B685" s="2" t="str">
        <f>"DX STEM54 Bodenaufbaustrahler, LED 6W, 4000K, 26°, H=510, Honeycomb, bronze elox"</f>
        <v>DX STEM54 Bodenaufbaustrahler, LED 6W, 4000K, 26°, H=510, Honeycomb, bronze elox</v>
      </c>
      <c r="C685" s="16">
        <v>216.25</v>
      </c>
      <c r="D685" s="11">
        <v>307</v>
      </c>
      <c r="E685" s="7">
        <f t="shared" si="30"/>
        <v>1</v>
      </c>
      <c r="F685" s="22" t="str">
        <f>IF(ISERROR(VLOOKUP($A685,#REF!,3,0)),"x",VLOOKUP($A685,#REF!,3,FALSE))</f>
        <v>x</v>
      </c>
      <c r="G685" s="9">
        <f t="shared" si="31"/>
        <v>1</v>
      </c>
      <c r="H685" s="13">
        <f t="shared" si="32"/>
        <v>216.25</v>
      </c>
    </row>
    <row r="686" spans="1:8" x14ac:dyDescent="0.25">
      <c r="A686" s="2" t="str">
        <f>"DXSL-54NW7"</f>
        <v>DXSL-54NW7</v>
      </c>
      <c r="B686" s="2" t="str">
        <f>"DX STEM54 Bodenaufbaustrahler, LED 6W, 4000K, 52°, H=510, Honeycomb, alu elox"</f>
        <v>DX STEM54 Bodenaufbaustrahler, LED 6W, 4000K, 52°, H=510, Honeycomb, alu elox</v>
      </c>
      <c r="C686" s="16">
        <v>216.25</v>
      </c>
      <c r="D686" s="11">
        <v>307</v>
      </c>
      <c r="E686" s="7">
        <f t="shared" si="30"/>
        <v>1</v>
      </c>
      <c r="F686" s="22" t="str">
        <f>IF(ISERROR(VLOOKUP($A686,#REF!,3,0)),"x",VLOOKUP($A686,#REF!,3,FALSE))</f>
        <v>x</v>
      </c>
      <c r="G686" s="9">
        <f t="shared" si="31"/>
        <v>1</v>
      </c>
      <c r="H686" s="13">
        <f t="shared" si="32"/>
        <v>216.25</v>
      </c>
    </row>
    <row r="687" spans="1:8" x14ac:dyDescent="0.25">
      <c r="A687" s="2" t="str">
        <f>"DXSL-54NW7S"</f>
        <v>DXSL-54NW7S</v>
      </c>
      <c r="B687" s="2" t="str">
        <f>"DX STEM54 Bodenaufbaustrahler, LED 6W, 4000K, 26°, H=510, Honeycomb, alu elox"</f>
        <v>DX STEM54 Bodenaufbaustrahler, LED 6W, 4000K, 26°, H=510, Honeycomb, alu elox</v>
      </c>
      <c r="C687" s="16">
        <v>216.25</v>
      </c>
      <c r="D687" s="11">
        <v>307</v>
      </c>
      <c r="E687" s="7">
        <f t="shared" si="30"/>
        <v>1</v>
      </c>
      <c r="F687" s="22" t="str">
        <f>IF(ISERROR(VLOOKUP($A687,#REF!,3,0)),"x",VLOOKUP($A687,#REF!,3,FALSE))</f>
        <v>x</v>
      </c>
      <c r="G687" s="9">
        <f t="shared" si="31"/>
        <v>1</v>
      </c>
      <c r="H687" s="13">
        <f t="shared" si="32"/>
        <v>216.25</v>
      </c>
    </row>
    <row r="688" spans="1:8" x14ac:dyDescent="0.25">
      <c r="A688" s="2" t="str">
        <f>"DXSL-54WW08"</f>
        <v>DXSL-54WW08</v>
      </c>
      <c r="B688" s="2" t="str">
        <f>"DX STEM54 Bodenaufbaustrahler, LED 6W, 3000K, 52°, H=510, Honeycomb, bronze elox"</f>
        <v>DX STEM54 Bodenaufbaustrahler, LED 6W, 3000K, 52°, H=510, Honeycomb, bronze elox</v>
      </c>
      <c r="C688" s="16">
        <v>216.25</v>
      </c>
      <c r="D688" s="11">
        <v>307</v>
      </c>
      <c r="E688" s="7">
        <f t="shared" si="30"/>
        <v>1</v>
      </c>
      <c r="F688" s="22" t="str">
        <f>IF(ISERROR(VLOOKUP($A688,#REF!,3,0)),"x",VLOOKUP($A688,#REF!,3,FALSE))</f>
        <v>x</v>
      </c>
      <c r="G688" s="9">
        <f t="shared" si="31"/>
        <v>1</v>
      </c>
      <c r="H688" s="13">
        <f t="shared" si="32"/>
        <v>216.25</v>
      </c>
    </row>
    <row r="689" spans="1:8" x14ac:dyDescent="0.25">
      <c r="A689" s="2" t="str">
        <f>"DXSL-54WW08S"</f>
        <v>DXSL-54WW08S</v>
      </c>
      <c r="B689" s="2" t="str">
        <f>"DX STEM54 Bodenaufbaustrahler, LED 6W, 3000K, 26°, H=510, Honeycomb, bronze elox"</f>
        <v>DX STEM54 Bodenaufbaustrahler, LED 6W, 3000K, 26°, H=510, Honeycomb, bronze elox</v>
      </c>
      <c r="C689" s="16">
        <v>216.25</v>
      </c>
      <c r="D689" s="11">
        <v>307</v>
      </c>
      <c r="E689" s="7">
        <f t="shared" si="30"/>
        <v>1</v>
      </c>
      <c r="F689" s="22" t="str">
        <f>IF(ISERROR(VLOOKUP($A689,#REF!,3,0)),"x",VLOOKUP($A689,#REF!,3,FALSE))</f>
        <v>x</v>
      </c>
      <c r="G689" s="9">
        <f t="shared" si="31"/>
        <v>1</v>
      </c>
      <c r="H689" s="13">
        <f t="shared" si="32"/>
        <v>216.25</v>
      </c>
    </row>
    <row r="690" spans="1:8" x14ac:dyDescent="0.25">
      <c r="A690" s="2" t="str">
        <f>"DXSL-54WW7"</f>
        <v>DXSL-54WW7</v>
      </c>
      <c r="B690" s="2" t="str">
        <f>"DX STEM54 Bodenaufbaustrahler, LED 6W, 3000K, 52°, H=510, Honeycomb, alu elox."</f>
        <v>DX STEM54 Bodenaufbaustrahler, LED 6W, 3000K, 52°, H=510, Honeycomb, alu elox.</v>
      </c>
      <c r="C690" s="16">
        <v>216.25</v>
      </c>
      <c r="D690" s="11">
        <v>307</v>
      </c>
      <c r="E690" s="7">
        <f t="shared" si="30"/>
        <v>1</v>
      </c>
      <c r="F690" s="22" t="str">
        <f>IF(ISERROR(VLOOKUP($A690,#REF!,3,0)),"x",VLOOKUP($A690,#REF!,3,FALSE))</f>
        <v>x</v>
      </c>
      <c r="G690" s="9">
        <f t="shared" si="31"/>
        <v>1</v>
      </c>
      <c r="H690" s="13">
        <f t="shared" si="32"/>
        <v>216.25</v>
      </c>
    </row>
    <row r="691" spans="1:8" x14ac:dyDescent="0.25">
      <c r="A691" s="2" t="str">
        <f>"DXSL-54WW7S"</f>
        <v>DXSL-54WW7S</v>
      </c>
      <c r="B691" s="2" t="str">
        <f>"DX STEM54 Bodenaufbaustrahler, LED 6W, 3000K, 26°, H=510, Honeycomb, alu elox."</f>
        <v>DX STEM54 Bodenaufbaustrahler, LED 6W, 3000K, 26°, H=510, Honeycomb, alu elox.</v>
      </c>
      <c r="C691" s="16">
        <v>216.25</v>
      </c>
      <c r="D691" s="11">
        <v>307</v>
      </c>
      <c r="E691" s="7">
        <f t="shared" si="30"/>
        <v>1</v>
      </c>
      <c r="F691" s="22" t="str">
        <f>IF(ISERROR(VLOOKUP($A691,#REF!,3,0)),"x",VLOOKUP($A691,#REF!,3,FALSE))</f>
        <v>x</v>
      </c>
      <c r="G691" s="9">
        <f t="shared" si="31"/>
        <v>1</v>
      </c>
      <c r="H691" s="13">
        <f t="shared" si="32"/>
        <v>216.25</v>
      </c>
    </row>
    <row r="692" spans="1:8" x14ac:dyDescent="0.25">
      <c r="A692" s="2" t="str">
        <f>"DXSM-54NW08"</f>
        <v>DXSM-54NW08</v>
      </c>
      <c r="B692" s="2" t="str">
        <f>"DX STEM54 Bodenaufbaustrahler, LED 6W, 4000K, 52°, H=170, Honeycomb, bronze elox"</f>
        <v>DX STEM54 Bodenaufbaustrahler, LED 6W, 4000K, 52°, H=170, Honeycomb, bronze elox</v>
      </c>
      <c r="C692" s="16">
        <v>210</v>
      </c>
      <c r="D692" s="11">
        <v>307</v>
      </c>
      <c r="E692" s="7">
        <f t="shared" si="30"/>
        <v>1</v>
      </c>
      <c r="F692" s="22" t="str">
        <f>IF(ISERROR(VLOOKUP($A692,#REF!,3,0)),"x",VLOOKUP($A692,#REF!,3,FALSE))</f>
        <v>x</v>
      </c>
      <c r="G692" s="9">
        <f t="shared" si="31"/>
        <v>1</v>
      </c>
      <c r="H692" s="13">
        <f t="shared" si="32"/>
        <v>210</v>
      </c>
    </row>
    <row r="693" spans="1:8" x14ac:dyDescent="0.25">
      <c r="A693" s="2" t="str">
        <f>"DXSM-54NW08S"</f>
        <v>DXSM-54NW08S</v>
      </c>
      <c r="B693" s="2" t="str">
        <f>"DX STEM54 Bodenaufbaustrahler, LED 6W, 4000K, 26°, H=170, Honeycomb, bronze elox"</f>
        <v>DX STEM54 Bodenaufbaustrahler, LED 6W, 4000K, 26°, H=170, Honeycomb, bronze elox</v>
      </c>
      <c r="C693" s="16">
        <v>210</v>
      </c>
      <c r="D693" s="11">
        <v>307</v>
      </c>
      <c r="E693" s="7">
        <f t="shared" si="30"/>
        <v>1</v>
      </c>
      <c r="F693" s="22" t="str">
        <f>IF(ISERROR(VLOOKUP($A693,#REF!,3,0)),"x",VLOOKUP($A693,#REF!,3,FALSE))</f>
        <v>x</v>
      </c>
      <c r="G693" s="9">
        <f t="shared" si="31"/>
        <v>1</v>
      </c>
      <c r="H693" s="13">
        <f t="shared" si="32"/>
        <v>210</v>
      </c>
    </row>
    <row r="694" spans="1:8" x14ac:dyDescent="0.25">
      <c r="A694" s="2" t="str">
        <f>"DXSM-54NW7"</f>
        <v>DXSM-54NW7</v>
      </c>
      <c r="B694" s="2" t="str">
        <f>"DX STEM54 Bodenaufbaustrahler, LED 6W, 4000K, 52°, H=170, Honeycomb, alu elox"</f>
        <v>DX STEM54 Bodenaufbaustrahler, LED 6W, 4000K, 52°, H=170, Honeycomb, alu elox</v>
      </c>
      <c r="C694" s="16">
        <v>210</v>
      </c>
      <c r="D694" s="11">
        <v>307</v>
      </c>
      <c r="E694" s="7">
        <f t="shared" si="30"/>
        <v>1</v>
      </c>
      <c r="F694" s="22" t="str">
        <f>IF(ISERROR(VLOOKUP($A694,#REF!,3,0)),"x",VLOOKUP($A694,#REF!,3,FALSE))</f>
        <v>x</v>
      </c>
      <c r="G694" s="9">
        <f t="shared" si="31"/>
        <v>1</v>
      </c>
      <c r="H694" s="13">
        <f t="shared" si="32"/>
        <v>210</v>
      </c>
    </row>
    <row r="695" spans="1:8" x14ac:dyDescent="0.25">
      <c r="A695" s="2" t="str">
        <f>"DXSM-54NW7S"</f>
        <v>DXSM-54NW7S</v>
      </c>
      <c r="B695" s="2" t="str">
        <f>"DX STEM54 Bodenaufbaustrahler, LED 6W, 4000K, 26°, H=170, Honeycomb, alu elox"</f>
        <v>DX STEM54 Bodenaufbaustrahler, LED 6W, 4000K, 26°, H=170, Honeycomb, alu elox</v>
      </c>
      <c r="C695" s="16">
        <v>210</v>
      </c>
      <c r="D695" s="11">
        <v>307</v>
      </c>
      <c r="E695" s="7">
        <f t="shared" si="30"/>
        <v>1</v>
      </c>
      <c r="F695" s="22" t="str">
        <f>IF(ISERROR(VLOOKUP($A695,#REF!,3,0)),"x",VLOOKUP($A695,#REF!,3,FALSE))</f>
        <v>x</v>
      </c>
      <c r="G695" s="9">
        <f t="shared" si="31"/>
        <v>1</v>
      </c>
      <c r="H695" s="13">
        <f t="shared" si="32"/>
        <v>210</v>
      </c>
    </row>
    <row r="696" spans="1:8" x14ac:dyDescent="0.25">
      <c r="A696" s="2" t="str">
        <f>"DXSM-54WW08"</f>
        <v>DXSM-54WW08</v>
      </c>
      <c r="B696" s="2" t="str">
        <f>"DX STEM54 Bodenaufbaustrahler, LED 6W, 3000K, 52°, H=170, Honeycomb, bronze elox"</f>
        <v>DX STEM54 Bodenaufbaustrahler, LED 6W, 3000K, 52°, H=170, Honeycomb, bronze elox</v>
      </c>
      <c r="C696" s="16">
        <v>210</v>
      </c>
      <c r="D696" s="11">
        <v>307</v>
      </c>
      <c r="E696" s="7">
        <f t="shared" si="30"/>
        <v>1</v>
      </c>
      <c r="F696" s="22" t="str">
        <f>IF(ISERROR(VLOOKUP($A696,#REF!,3,0)),"x",VLOOKUP($A696,#REF!,3,FALSE))</f>
        <v>x</v>
      </c>
      <c r="G696" s="9">
        <f t="shared" si="31"/>
        <v>1</v>
      </c>
      <c r="H696" s="13">
        <f t="shared" si="32"/>
        <v>210</v>
      </c>
    </row>
    <row r="697" spans="1:8" x14ac:dyDescent="0.25">
      <c r="A697" s="2" t="str">
        <f>"DXSM-54WW08S"</f>
        <v>DXSM-54WW08S</v>
      </c>
      <c r="B697" s="2" t="str">
        <f>"DX STEM54 Bodenaufbaustrahler, LED 6W, 3000K, 26°, H=170, Honeycomb, bronze elox"</f>
        <v>DX STEM54 Bodenaufbaustrahler, LED 6W, 3000K, 26°, H=170, Honeycomb, bronze elox</v>
      </c>
      <c r="C697" s="16">
        <v>210</v>
      </c>
      <c r="D697" s="11">
        <v>307</v>
      </c>
      <c r="E697" s="7">
        <f t="shared" si="30"/>
        <v>1</v>
      </c>
      <c r="F697" s="22" t="str">
        <f>IF(ISERROR(VLOOKUP($A697,#REF!,3,0)),"x",VLOOKUP($A697,#REF!,3,FALSE))</f>
        <v>x</v>
      </c>
      <c r="G697" s="9">
        <f t="shared" si="31"/>
        <v>1</v>
      </c>
      <c r="H697" s="13">
        <f t="shared" si="32"/>
        <v>210</v>
      </c>
    </row>
    <row r="698" spans="1:8" x14ac:dyDescent="0.25">
      <c r="A698" s="2" t="str">
        <f>"DXSM-54WW7"</f>
        <v>DXSM-54WW7</v>
      </c>
      <c r="B698" s="2" t="str">
        <f>"DX STEM54 Bodenaufbaustrahler, LED 6W, 3000K, 52°, H=170, Honeycomb, alu elox."</f>
        <v>DX STEM54 Bodenaufbaustrahler, LED 6W, 3000K, 52°, H=170, Honeycomb, alu elox.</v>
      </c>
      <c r="C698" s="16">
        <v>210</v>
      </c>
      <c r="D698" s="11">
        <v>307</v>
      </c>
      <c r="E698" s="7">
        <f t="shared" si="30"/>
        <v>1</v>
      </c>
      <c r="F698" s="22" t="str">
        <f>IF(ISERROR(VLOOKUP($A698,#REF!,3,0)),"x",VLOOKUP($A698,#REF!,3,FALSE))</f>
        <v>x</v>
      </c>
      <c r="G698" s="9">
        <f t="shared" si="31"/>
        <v>1</v>
      </c>
      <c r="H698" s="13">
        <f t="shared" si="32"/>
        <v>210</v>
      </c>
    </row>
    <row r="699" spans="1:8" x14ac:dyDescent="0.25">
      <c r="A699" s="2" t="str">
        <f>"DXSM-54WW7S"</f>
        <v>DXSM-54WW7S</v>
      </c>
      <c r="B699" s="2" t="str">
        <f>"DX STEM54 Bodenaufbaustrahler, LED 6W, 3000K, 26°, H=170, Honeycomb, alu elox."</f>
        <v>DX STEM54 Bodenaufbaustrahler, LED 6W, 3000K, 26°, H=170, Honeycomb, alu elox.</v>
      </c>
      <c r="C699" s="16">
        <v>210</v>
      </c>
      <c r="D699" s="11">
        <v>307</v>
      </c>
      <c r="E699" s="7">
        <f t="shared" si="30"/>
        <v>1</v>
      </c>
      <c r="F699" s="22" t="str">
        <f>IF(ISERROR(VLOOKUP($A699,#REF!,3,0)),"x",VLOOKUP($A699,#REF!,3,FALSE))</f>
        <v>x</v>
      </c>
      <c r="G699" s="9">
        <f t="shared" si="31"/>
        <v>1</v>
      </c>
      <c r="H699" s="13">
        <f t="shared" si="32"/>
        <v>210</v>
      </c>
    </row>
    <row r="700" spans="1:8" x14ac:dyDescent="0.25">
      <c r="A700" s="2" t="str">
        <f>"EDU-18WWNW1"</f>
        <v>EDU-18WWNW1</v>
      </c>
      <c r="B700" s="2" t="str">
        <f>"EDU Einbaudownlight, LED 18W, CRI80, 3000/4000K, weiss"</f>
        <v>EDU Einbaudownlight, LED 18W, CRI80, 3000/4000K, weiss</v>
      </c>
      <c r="C700" s="16">
        <v>102.5</v>
      </c>
      <c r="D700" s="11">
        <v>105</v>
      </c>
      <c r="E700" s="7">
        <f t="shared" si="30"/>
        <v>1</v>
      </c>
      <c r="F700" s="22" t="str">
        <f>IF(ISERROR(VLOOKUP($A700,#REF!,3,0)),"x",VLOOKUP($A700,#REF!,3,FALSE))</f>
        <v>x</v>
      </c>
      <c r="G700" s="9">
        <f t="shared" si="31"/>
        <v>1</v>
      </c>
      <c r="H700" s="13">
        <f t="shared" si="32"/>
        <v>102.5</v>
      </c>
    </row>
    <row r="701" spans="1:8" x14ac:dyDescent="0.25">
      <c r="A701" s="2" t="str">
        <f>"EDU-18WWNW2"</f>
        <v>EDU-18WWNW2</v>
      </c>
      <c r="B701" s="2" t="str">
        <f>"EDU Einbaudownlight, LED 18W, CRI80, 3000/4000K, schwarz"</f>
        <v>EDU Einbaudownlight, LED 18W, CRI80, 3000/4000K, schwarz</v>
      </c>
      <c r="C701" s="16">
        <v>102.5</v>
      </c>
      <c r="D701" s="11">
        <v>105</v>
      </c>
      <c r="E701" s="7">
        <f t="shared" si="30"/>
        <v>1</v>
      </c>
      <c r="F701" s="22" t="str">
        <f>IF(ISERROR(VLOOKUP($A701,#REF!,3,0)),"x",VLOOKUP($A701,#REF!,3,FALSE))</f>
        <v>x</v>
      </c>
      <c r="G701" s="9">
        <f t="shared" si="31"/>
        <v>1</v>
      </c>
      <c r="H701" s="13">
        <f t="shared" si="32"/>
        <v>102.5</v>
      </c>
    </row>
    <row r="702" spans="1:8" x14ac:dyDescent="0.25">
      <c r="A702" s="2" t="str">
        <f>"EDU-9WWNW1"</f>
        <v>EDU-9WWNW1</v>
      </c>
      <c r="B702" s="2" t="str">
        <f>"EDU Einbaudownlight, LED 9W, CRI80, 3000/4000K, weiss"</f>
        <v>EDU Einbaudownlight, LED 9W, CRI80, 3000/4000K, weiss</v>
      </c>
      <c r="C702" s="16">
        <v>77.5</v>
      </c>
      <c r="D702" s="11">
        <v>105</v>
      </c>
      <c r="E702" s="7">
        <f t="shared" si="30"/>
        <v>1</v>
      </c>
      <c r="F702" s="22" t="str">
        <f>IF(ISERROR(VLOOKUP($A702,#REF!,3,0)),"x",VLOOKUP($A702,#REF!,3,FALSE))</f>
        <v>x</v>
      </c>
      <c r="G702" s="9">
        <f t="shared" si="31"/>
        <v>1</v>
      </c>
      <c r="H702" s="13">
        <f t="shared" si="32"/>
        <v>77.5</v>
      </c>
    </row>
    <row r="703" spans="1:8" x14ac:dyDescent="0.25">
      <c r="A703" s="2" t="str">
        <f>"EDU-9WWNW2"</f>
        <v>EDU-9WWNW2</v>
      </c>
      <c r="B703" s="2" t="str">
        <f>"EDU Einbaudownlight, LED 9W, CRI80, 3000/4000K, schwarz"</f>
        <v>EDU Einbaudownlight, LED 9W, CRI80, 3000/4000K, schwarz</v>
      </c>
      <c r="C703" s="16">
        <v>77.5</v>
      </c>
      <c r="D703" s="11">
        <v>105</v>
      </c>
      <c r="E703" s="7">
        <f t="shared" si="30"/>
        <v>1</v>
      </c>
      <c r="F703" s="22" t="str">
        <f>IF(ISERROR(VLOOKUP($A703,#REF!,3,0)),"x",VLOOKUP($A703,#REF!,3,FALSE))</f>
        <v>x</v>
      </c>
      <c r="G703" s="9">
        <f t="shared" si="31"/>
        <v>1</v>
      </c>
      <c r="H703" s="13">
        <f t="shared" si="32"/>
        <v>77.5</v>
      </c>
    </row>
    <row r="704" spans="1:8" x14ac:dyDescent="0.25">
      <c r="A704" s="2" t="str">
        <f>"EDU-AUR145-1"</f>
        <v>EDU-AUR145-1</v>
      </c>
      <c r="B704" s="2" t="str">
        <f>"EDU Aufbaurahmen weiss, Ø148 x H93 mm, für EDU Ø145mm, inkl. Montageset"</f>
        <v>EDU Aufbaurahmen weiss, Ø148 x H93 mm, für EDU Ø145mm, inkl. Montageset</v>
      </c>
      <c r="C704" s="16">
        <v>37.5</v>
      </c>
      <c r="D704" s="11">
        <v>105</v>
      </c>
      <c r="E704" s="7">
        <f t="shared" si="30"/>
        <v>1</v>
      </c>
      <c r="F704" s="22" t="str">
        <f>IF(ISERROR(VLOOKUP($A704,#REF!,3,0)),"x",VLOOKUP($A704,#REF!,3,FALSE))</f>
        <v>x</v>
      </c>
      <c r="G704" s="9">
        <f t="shared" si="31"/>
        <v>1</v>
      </c>
      <c r="H704" s="13">
        <f t="shared" si="32"/>
        <v>37.5</v>
      </c>
    </row>
    <row r="705" spans="1:8" x14ac:dyDescent="0.25">
      <c r="A705" s="2" t="str">
        <f>"EDU-AUR145-2"</f>
        <v>EDU-AUR145-2</v>
      </c>
      <c r="B705" s="2" t="str">
        <f>"EDU Aufbaurahmen schwarz, Ø148 x H93 mm, für EDU Ø145mm, inkl. Montageset"</f>
        <v>EDU Aufbaurahmen schwarz, Ø148 x H93 mm, für EDU Ø145mm, inkl. Montageset</v>
      </c>
      <c r="C705" s="16">
        <v>37.5</v>
      </c>
      <c r="D705" s="11">
        <v>105</v>
      </c>
      <c r="E705" s="7">
        <f t="shared" si="30"/>
        <v>1</v>
      </c>
      <c r="F705" s="22" t="str">
        <f>IF(ISERROR(VLOOKUP($A705,#REF!,3,0)),"x",VLOOKUP($A705,#REF!,3,FALSE))</f>
        <v>x</v>
      </c>
      <c r="G705" s="9">
        <f t="shared" si="31"/>
        <v>1</v>
      </c>
      <c r="H705" s="13">
        <f t="shared" si="32"/>
        <v>37.5</v>
      </c>
    </row>
    <row r="706" spans="1:8" x14ac:dyDescent="0.25">
      <c r="A706" s="2" t="str">
        <f>"EDU-AUR228-1"</f>
        <v>EDU-AUR228-1</v>
      </c>
      <c r="B706" s="2" t="str">
        <f>"EDU Aufbaurahmen weiss, Ø232 x 93mm, für EDU Ø228mm inkl. Montageset"</f>
        <v>EDU Aufbaurahmen weiss, Ø232 x 93mm, für EDU Ø228mm inkl. Montageset</v>
      </c>
      <c r="C706" s="16">
        <v>57.5</v>
      </c>
      <c r="D706" s="11">
        <v>105</v>
      </c>
      <c r="E706" s="7">
        <f t="shared" si="30"/>
        <v>1</v>
      </c>
      <c r="F706" s="22" t="str">
        <f>IF(ISERROR(VLOOKUP($A706,#REF!,3,0)),"x",VLOOKUP($A706,#REF!,3,FALSE))</f>
        <v>x</v>
      </c>
      <c r="G706" s="9">
        <f t="shared" si="31"/>
        <v>1</v>
      </c>
      <c r="H706" s="13">
        <f t="shared" si="32"/>
        <v>57.5</v>
      </c>
    </row>
    <row r="707" spans="1:8" x14ac:dyDescent="0.25">
      <c r="A707" s="2" t="str">
        <f>"EDU-AUR228-2"</f>
        <v>EDU-AUR228-2</v>
      </c>
      <c r="B707" s="2" t="str">
        <f>"EDU Aufbaurahmen schwarz, Ø232 x 93mm, für EDU Ø228mm, inkl. Montageset"</f>
        <v>EDU Aufbaurahmen schwarz, Ø232 x 93mm, für EDU Ø228mm, inkl. Montageset</v>
      </c>
      <c r="C707" s="16">
        <v>57.5</v>
      </c>
      <c r="D707" s="11">
        <v>105</v>
      </c>
      <c r="E707" s="7">
        <f t="shared" si="30"/>
        <v>1</v>
      </c>
      <c r="F707" s="22" t="str">
        <f>IF(ISERROR(VLOOKUP($A707,#REF!,3,0)),"x",VLOOKUP($A707,#REF!,3,FALSE))</f>
        <v>x</v>
      </c>
      <c r="G707" s="9">
        <f t="shared" si="31"/>
        <v>1</v>
      </c>
      <c r="H707" s="13">
        <f t="shared" si="32"/>
        <v>57.5</v>
      </c>
    </row>
    <row r="708" spans="1:8" x14ac:dyDescent="0.25">
      <c r="A708" s="2" t="str">
        <f>"EGO-23NW2M"</f>
        <v>EGO-23NW2M</v>
      </c>
      <c r="B708" s="2" t="str">
        <f>"EGO LED EVO Pendelleuchte, LED 23W 4000K schwarz"</f>
        <v>EGO LED EVO Pendelleuchte, LED 23W 4000K schwarz</v>
      </c>
      <c r="C708" s="16">
        <v>235</v>
      </c>
      <c r="D708" s="11">
        <v>169</v>
      </c>
      <c r="E708" s="7">
        <f t="shared" ref="E708:E770" si="33">G708</f>
        <v>1</v>
      </c>
      <c r="F708" s="22" t="str">
        <f>IF(ISERROR(VLOOKUP($A708,#REF!,3,0)),"x",VLOOKUP($A708,#REF!,3,FALSE))</f>
        <v>x</v>
      </c>
      <c r="G708" s="9">
        <f t="shared" ref="G708:G770" si="34">IF(C708&lt;F708,1,IF(C708&gt;F708,-1,0))</f>
        <v>1</v>
      </c>
      <c r="H708" s="13">
        <f t="shared" si="32"/>
        <v>235</v>
      </c>
    </row>
    <row r="709" spans="1:8" x14ac:dyDescent="0.25">
      <c r="A709" s="2" t="str">
        <f>"EGO-23NW6"</f>
        <v>EGO-23NW6</v>
      </c>
      <c r="B709" s="2" t="str">
        <f>"EGO LED EVO PC Pendelleuchte, LED 23W 4000K anthrazit"</f>
        <v>EGO LED EVO PC Pendelleuchte, LED 23W 4000K anthrazit</v>
      </c>
      <c r="C709" s="16">
        <v>205</v>
      </c>
      <c r="D709" s="11">
        <v>169</v>
      </c>
      <c r="E709" s="7">
        <f t="shared" si="33"/>
        <v>1</v>
      </c>
      <c r="F709" s="22" t="str">
        <f>IF(ISERROR(VLOOKUP($A709,#REF!,3,0)),"x",VLOOKUP($A709,#REF!,3,FALSE))</f>
        <v>x</v>
      </c>
      <c r="G709" s="9">
        <f t="shared" si="34"/>
        <v>1</v>
      </c>
      <c r="H709" s="13">
        <f t="shared" si="32"/>
        <v>205</v>
      </c>
    </row>
    <row r="710" spans="1:8" x14ac:dyDescent="0.25">
      <c r="A710" s="2" t="str">
        <f>"EGO-23WW2M"</f>
        <v>EGO-23WW2M</v>
      </c>
      <c r="B710" s="2" t="str">
        <f>"EGO LED EVO Pendelleuchte, LED 23W 3000K schwarz"</f>
        <v>EGO LED EVO Pendelleuchte, LED 23W 3000K schwarz</v>
      </c>
      <c r="C710" s="16">
        <v>235</v>
      </c>
      <c r="D710" s="11">
        <v>169</v>
      </c>
      <c r="E710" s="7">
        <f t="shared" si="33"/>
        <v>1</v>
      </c>
      <c r="F710" s="22" t="str">
        <f>IF(ISERROR(VLOOKUP($A710,#REF!,3,0)),"x",VLOOKUP($A710,#REF!,3,FALSE))</f>
        <v>x</v>
      </c>
      <c r="G710" s="9">
        <f t="shared" si="34"/>
        <v>1</v>
      </c>
      <c r="H710" s="13">
        <f t="shared" ref="H710:H772" si="35">IF(F710="x",C710,F710)</f>
        <v>235</v>
      </c>
    </row>
    <row r="711" spans="1:8" x14ac:dyDescent="0.25">
      <c r="A711" s="2" t="str">
        <f>"EGO-23WW6"</f>
        <v>EGO-23WW6</v>
      </c>
      <c r="B711" s="2" t="str">
        <f>"EGO LED EVO PC Pendelleuchte, LED 23W 3000K anthrazit"</f>
        <v>EGO LED EVO PC Pendelleuchte, LED 23W 3000K anthrazit</v>
      </c>
      <c r="C711" s="16">
        <v>205</v>
      </c>
      <c r="D711" s="11">
        <v>169</v>
      </c>
      <c r="E711" s="7">
        <f t="shared" si="33"/>
        <v>1</v>
      </c>
      <c r="F711" s="22" t="str">
        <f>IF(ISERROR(VLOOKUP($A711,#REF!,3,0)),"x",VLOOKUP($A711,#REF!,3,FALSE))</f>
        <v>x</v>
      </c>
      <c r="G711" s="9">
        <f t="shared" si="34"/>
        <v>1</v>
      </c>
      <c r="H711" s="13">
        <f t="shared" si="35"/>
        <v>205</v>
      </c>
    </row>
    <row r="712" spans="1:8" x14ac:dyDescent="0.25">
      <c r="A712" s="2" t="str">
        <f>"EGO-30NW2M"</f>
        <v>EGO-30NW2M</v>
      </c>
      <c r="B712" s="2" t="str">
        <f>"EGO LED EVO Pendelleuchte, LED 30W 4000K schwarz"</f>
        <v>EGO LED EVO Pendelleuchte, LED 30W 4000K schwarz</v>
      </c>
      <c r="C712" s="16">
        <v>250</v>
      </c>
      <c r="D712" s="11">
        <v>169</v>
      </c>
      <c r="E712" s="7">
        <f t="shared" si="33"/>
        <v>1</v>
      </c>
      <c r="F712" s="22" t="str">
        <f>IF(ISERROR(VLOOKUP($A712,#REF!,3,0)),"x",VLOOKUP($A712,#REF!,3,FALSE))</f>
        <v>x</v>
      </c>
      <c r="G712" s="9">
        <f t="shared" si="34"/>
        <v>1</v>
      </c>
      <c r="H712" s="13">
        <f t="shared" si="35"/>
        <v>250</v>
      </c>
    </row>
    <row r="713" spans="1:8" x14ac:dyDescent="0.25">
      <c r="A713" s="2" t="str">
        <f>"EGO-30NW6"</f>
        <v>EGO-30NW6</v>
      </c>
      <c r="B713" s="2" t="str">
        <f>"EGO LED EVO PC Pendelleuchte, LED 30W 4000K anthrazit"</f>
        <v>EGO LED EVO PC Pendelleuchte, LED 30W 4000K anthrazit</v>
      </c>
      <c r="C713" s="16">
        <v>220</v>
      </c>
      <c r="D713" s="11">
        <v>169</v>
      </c>
      <c r="E713" s="7">
        <f t="shared" si="33"/>
        <v>1</v>
      </c>
      <c r="F713" s="22" t="str">
        <f>IF(ISERROR(VLOOKUP($A713,#REF!,3,0)),"x",VLOOKUP($A713,#REF!,3,FALSE))</f>
        <v>x</v>
      </c>
      <c r="G713" s="9">
        <f t="shared" si="34"/>
        <v>1</v>
      </c>
      <c r="H713" s="13">
        <f t="shared" si="35"/>
        <v>220</v>
      </c>
    </row>
    <row r="714" spans="1:8" x14ac:dyDescent="0.25">
      <c r="A714" s="2" t="str">
        <f>"EGO-30WW2M"</f>
        <v>EGO-30WW2M</v>
      </c>
      <c r="B714" s="2" t="str">
        <f>"EGO LED EVO Pendelleuchte, LED 30W 3000K schwarz"</f>
        <v>EGO LED EVO Pendelleuchte, LED 30W 3000K schwarz</v>
      </c>
      <c r="C714" s="16">
        <v>250</v>
      </c>
      <c r="D714" s="11">
        <v>169</v>
      </c>
      <c r="E714" s="7">
        <f t="shared" si="33"/>
        <v>1</v>
      </c>
      <c r="F714" s="22" t="str">
        <f>IF(ISERROR(VLOOKUP($A714,#REF!,3,0)),"x",VLOOKUP($A714,#REF!,3,FALSE))</f>
        <v>x</v>
      </c>
      <c r="G714" s="9">
        <f t="shared" si="34"/>
        <v>1</v>
      </c>
      <c r="H714" s="13">
        <f t="shared" si="35"/>
        <v>250</v>
      </c>
    </row>
    <row r="715" spans="1:8" x14ac:dyDescent="0.25">
      <c r="A715" s="2" t="str">
        <f>"EGO-30WW6"</f>
        <v>EGO-30WW6</v>
      </c>
      <c r="B715" s="2" t="str">
        <f>"EGO LED EVO PC Pendelleuchte, LED 30W 3000K anthrazit"</f>
        <v>EGO LED EVO PC Pendelleuchte, LED 30W 3000K anthrazit</v>
      </c>
      <c r="C715" s="16">
        <v>220</v>
      </c>
      <c r="D715" s="11">
        <v>169</v>
      </c>
      <c r="E715" s="7">
        <f t="shared" si="33"/>
        <v>1</v>
      </c>
      <c r="F715" s="22" t="str">
        <f>IF(ISERROR(VLOOKUP($A715,#REF!,3,0)),"x",VLOOKUP($A715,#REF!,3,FALSE))</f>
        <v>x</v>
      </c>
      <c r="G715" s="9">
        <f t="shared" si="34"/>
        <v>1</v>
      </c>
      <c r="H715" s="13">
        <f t="shared" si="35"/>
        <v>220</v>
      </c>
    </row>
    <row r="716" spans="1:8" x14ac:dyDescent="0.25">
      <c r="A716" s="2" t="str">
        <f>"ELEDB-30NW11P"</f>
        <v>ELEDB-30NW11P</v>
      </c>
      <c r="B716" s="2" t="str">
        <f>"Backlit Panel, 620x620mm, H30mm, 30W, prismatische Abdeckung, inkl. LED Netzteil"</f>
        <v>Backlit Panel, 620x620mm, H30mm, 30W, prismatische Abdeckung, inkl. LED Netzteil</v>
      </c>
      <c r="C716" s="16">
        <v>85</v>
      </c>
      <c r="D716" s="11">
        <v>191</v>
      </c>
      <c r="E716" s="7">
        <f t="shared" si="33"/>
        <v>1</v>
      </c>
      <c r="F716" s="22" t="str">
        <f>IF(ISERROR(VLOOKUP($A716,#REF!,3,0)),"x",VLOOKUP($A716,#REF!,3,FALSE))</f>
        <v>x</v>
      </c>
      <c r="G716" s="9">
        <f t="shared" si="34"/>
        <v>1</v>
      </c>
      <c r="H716" s="13">
        <f t="shared" si="35"/>
        <v>85</v>
      </c>
    </row>
    <row r="717" spans="1:8" x14ac:dyDescent="0.25">
      <c r="A717" s="2" t="str">
        <f>"ELEDB-30NW11P-DD"</f>
        <v>ELEDB-30NW11P-DD</v>
      </c>
      <c r="B717" s="2" t="str">
        <f>"Backlit Panel, 620x620mm, H30mm, 30W, prismatische Abdeckung, inkl.DALI Netzteil"</f>
        <v>Backlit Panel, 620x620mm, H30mm, 30W, prismatische Abdeckung, inkl.DALI Netzteil</v>
      </c>
      <c r="C717" s="16">
        <v>165</v>
      </c>
      <c r="D717" s="11">
        <v>191</v>
      </c>
      <c r="E717" s="7">
        <f t="shared" si="33"/>
        <v>1</v>
      </c>
      <c r="F717" s="22" t="str">
        <f>IF(ISERROR(VLOOKUP($A717,#REF!,3,0)),"x",VLOOKUP($A717,#REF!,3,FALSE))</f>
        <v>x</v>
      </c>
      <c r="G717" s="9">
        <f t="shared" si="34"/>
        <v>1</v>
      </c>
      <c r="H717" s="13">
        <f t="shared" si="35"/>
        <v>165</v>
      </c>
    </row>
    <row r="718" spans="1:8" x14ac:dyDescent="0.25">
      <c r="A718" s="2" t="str">
        <f>"ELEDB-30WW11P"</f>
        <v>ELEDB-30WW11P</v>
      </c>
      <c r="B718" s="2" t="str">
        <f>"Backlit Panel, 620x620mm, H30mm, 30W, prismatische Abdeckung, inkl. LED Netzteil"</f>
        <v>Backlit Panel, 620x620mm, H30mm, 30W, prismatische Abdeckung, inkl. LED Netzteil</v>
      </c>
      <c r="C718" s="16">
        <v>85</v>
      </c>
      <c r="D718" s="11">
        <v>191</v>
      </c>
      <c r="E718" s="7">
        <f t="shared" si="33"/>
        <v>1</v>
      </c>
      <c r="F718" s="22" t="str">
        <f>IF(ISERROR(VLOOKUP($A718,#REF!,3,0)),"x",VLOOKUP($A718,#REF!,3,FALSE))</f>
        <v>x</v>
      </c>
      <c r="G718" s="9">
        <f t="shared" si="34"/>
        <v>1</v>
      </c>
      <c r="H718" s="13">
        <f t="shared" si="35"/>
        <v>85</v>
      </c>
    </row>
    <row r="719" spans="1:8" x14ac:dyDescent="0.25">
      <c r="A719" s="2" t="str">
        <f>"ELEDB-30WW11P-DD"</f>
        <v>ELEDB-30WW11P-DD</v>
      </c>
      <c r="B719" s="2" t="str">
        <f>"Backlit Panel, 620x620mm, H30mm, 30W, prismatische Abdeckung, inkl.DALI Netzteil"</f>
        <v>Backlit Panel, 620x620mm, H30mm, 30W, prismatische Abdeckung, inkl.DALI Netzteil</v>
      </c>
      <c r="C719" s="16">
        <v>165</v>
      </c>
      <c r="D719" s="11">
        <v>191</v>
      </c>
      <c r="E719" s="7">
        <f t="shared" si="33"/>
        <v>1</v>
      </c>
      <c r="F719" s="22" t="str">
        <f>IF(ISERROR(VLOOKUP($A719,#REF!,3,0)),"x",VLOOKUP($A719,#REF!,3,FALSE))</f>
        <v>x</v>
      </c>
      <c r="G719" s="9">
        <f t="shared" si="34"/>
        <v>1</v>
      </c>
      <c r="H719" s="13">
        <f t="shared" si="35"/>
        <v>165</v>
      </c>
    </row>
    <row r="720" spans="1:8" x14ac:dyDescent="0.25">
      <c r="A720" s="2" t="str">
        <f>"ELEDB-AUR626N"</f>
        <v>ELEDB-AUR626N</v>
      </c>
      <c r="B720" s="2" t="str">
        <f>"Aufbaurahmen für ELEDB Deckeneinlegeleuchte 626x626mm, weiß"</f>
        <v>Aufbaurahmen für ELEDB Deckeneinlegeleuchte 626x626mm, weiß</v>
      </c>
      <c r="C720" s="16">
        <v>37.5</v>
      </c>
      <c r="D720" s="11">
        <v>191</v>
      </c>
      <c r="E720" s="7">
        <f t="shared" si="33"/>
        <v>1</v>
      </c>
      <c r="F720" s="22" t="str">
        <f>IF(ISERROR(VLOOKUP($A720,#REF!,3,0)),"x",VLOOKUP($A720,#REF!,3,FALSE))</f>
        <v>x</v>
      </c>
      <c r="G720" s="9">
        <f t="shared" si="34"/>
        <v>1</v>
      </c>
      <c r="H720" s="13">
        <f t="shared" si="35"/>
        <v>37.5</v>
      </c>
    </row>
    <row r="721" spans="1:8" x14ac:dyDescent="0.25">
      <c r="A721" s="2" t="str">
        <f>"ELEDN-AUR120"</f>
        <v>ELEDN-AUR120</v>
      </c>
      <c r="B721" s="2" t="str">
        <f>"Aufbaurahmen für ELEDN Deckeneinlegeleuchte 1200x300mm, weiß"</f>
        <v>Aufbaurahmen für ELEDN Deckeneinlegeleuchte 1200x300mm, weiß</v>
      </c>
      <c r="C721" s="16">
        <v>42.5</v>
      </c>
      <c r="D721" s="11">
        <v>193</v>
      </c>
      <c r="E721" s="7">
        <f t="shared" si="33"/>
        <v>1</v>
      </c>
      <c r="F721" s="22" t="str">
        <f>IF(ISERROR(VLOOKUP($A721,#REF!,3,0)),"x",VLOOKUP($A721,#REF!,3,FALSE))</f>
        <v>x</v>
      </c>
      <c r="G721" s="9">
        <f t="shared" si="34"/>
        <v>1</v>
      </c>
      <c r="H721" s="13">
        <f t="shared" si="35"/>
        <v>42.5</v>
      </c>
    </row>
    <row r="722" spans="1:8" x14ac:dyDescent="0.25">
      <c r="A722" s="2" t="str">
        <f>"ELEIP-6NW1-K"</f>
        <v>ELEIP-6NW1-K</v>
      </c>
      <c r="B722" s="2" t="str">
        <f>"ELEIP Einbaudownlight eckig, COB LED 6W, 4000K, starr, weiß"</f>
        <v>ELEIP Einbaudownlight eckig, COB LED 6W, 4000K, starr, weiß</v>
      </c>
      <c r="C722" s="16">
        <v>49.5</v>
      </c>
      <c r="D722" s="11">
        <v>127</v>
      </c>
      <c r="E722" s="7">
        <f t="shared" si="33"/>
        <v>1</v>
      </c>
      <c r="F722" s="22" t="str">
        <f>IF(ISERROR(VLOOKUP($A722,#REF!,3,0)),"x",VLOOKUP($A722,#REF!,3,FALSE))</f>
        <v>x</v>
      </c>
      <c r="G722" s="9">
        <f t="shared" si="34"/>
        <v>1</v>
      </c>
      <c r="H722" s="13">
        <f t="shared" si="35"/>
        <v>49.5</v>
      </c>
    </row>
    <row r="723" spans="1:8" x14ac:dyDescent="0.25">
      <c r="A723" s="2" t="str">
        <f>"ELEIP-6NW7-K"</f>
        <v>ELEIP-6NW7-K</v>
      </c>
      <c r="B723" s="2" t="str">
        <f>"ELEIP Einbaudownlight eckig, COB LED 6W, 4000K, starr, alu matt"</f>
        <v>ELEIP Einbaudownlight eckig, COB LED 6W, 4000K, starr, alu matt</v>
      </c>
      <c r="C723" s="16">
        <v>49.5</v>
      </c>
      <c r="D723" s="11">
        <v>127</v>
      </c>
      <c r="E723" s="7">
        <f t="shared" si="33"/>
        <v>1</v>
      </c>
      <c r="F723" s="22" t="str">
        <f>IF(ISERROR(VLOOKUP($A723,#REF!,3,0)),"x",VLOOKUP($A723,#REF!,3,FALSE))</f>
        <v>x</v>
      </c>
      <c r="G723" s="9">
        <f t="shared" si="34"/>
        <v>1</v>
      </c>
      <c r="H723" s="13">
        <f t="shared" si="35"/>
        <v>49.5</v>
      </c>
    </row>
    <row r="724" spans="1:8" x14ac:dyDescent="0.25">
      <c r="A724" s="2" t="str">
        <f>"ELEIP-6SW1-K"</f>
        <v>ELEIP-6SW1-K</v>
      </c>
      <c r="B724" s="2" t="str">
        <f>"ELEIP Einbaudownlight eckig, COB LED 6W, 2700K, starr, weiß"</f>
        <v>ELEIP Einbaudownlight eckig, COB LED 6W, 2700K, starr, weiß</v>
      </c>
      <c r="C724" s="16">
        <v>49.5</v>
      </c>
      <c r="D724" s="11">
        <v>127</v>
      </c>
      <c r="E724" s="7">
        <f t="shared" si="33"/>
        <v>1</v>
      </c>
      <c r="F724" s="22" t="str">
        <f>IF(ISERROR(VLOOKUP($A724,#REF!,3,0)),"x",VLOOKUP($A724,#REF!,3,FALSE))</f>
        <v>x</v>
      </c>
      <c r="G724" s="9">
        <f t="shared" si="34"/>
        <v>1</v>
      </c>
      <c r="H724" s="13">
        <f t="shared" si="35"/>
        <v>49.5</v>
      </c>
    </row>
    <row r="725" spans="1:8" x14ac:dyDescent="0.25">
      <c r="A725" s="2" t="str">
        <f>"ELEIP-6SW7-K"</f>
        <v>ELEIP-6SW7-K</v>
      </c>
      <c r="B725" s="2" t="str">
        <f>"ELEIP Einbaudownlight eckig, COB LED 6W, 2700K, starr, alu matt"</f>
        <v>ELEIP Einbaudownlight eckig, COB LED 6W, 2700K, starr, alu matt</v>
      </c>
      <c r="C725" s="16">
        <v>49.5</v>
      </c>
      <c r="D725" s="11">
        <v>127</v>
      </c>
      <c r="E725" s="7">
        <f t="shared" si="33"/>
        <v>1</v>
      </c>
      <c r="F725" s="22" t="str">
        <f>IF(ISERROR(VLOOKUP($A725,#REF!,3,0)),"x",VLOOKUP($A725,#REF!,3,FALSE))</f>
        <v>x</v>
      </c>
      <c r="G725" s="9">
        <f t="shared" si="34"/>
        <v>1</v>
      </c>
      <c r="H725" s="13">
        <f t="shared" si="35"/>
        <v>49.5</v>
      </c>
    </row>
    <row r="726" spans="1:8" x14ac:dyDescent="0.25">
      <c r="A726" s="2" t="str">
        <f>"ELEIP-6WW1-K"</f>
        <v>ELEIP-6WW1-K</v>
      </c>
      <c r="B726" s="2" t="str">
        <f>"ELEIP Einbaudownlight eckig, COB LED 6W, 3000K, starr, weiß"</f>
        <v>ELEIP Einbaudownlight eckig, COB LED 6W, 3000K, starr, weiß</v>
      </c>
      <c r="C726" s="16">
        <v>49.5</v>
      </c>
      <c r="D726" s="11">
        <v>127</v>
      </c>
      <c r="E726" s="7">
        <f t="shared" si="33"/>
        <v>1</v>
      </c>
      <c r="F726" s="22" t="str">
        <f>IF(ISERROR(VLOOKUP($A726,#REF!,3,0)),"x",VLOOKUP($A726,#REF!,3,FALSE))</f>
        <v>x</v>
      </c>
      <c r="G726" s="9">
        <f t="shared" si="34"/>
        <v>1</v>
      </c>
      <c r="H726" s="13">
        <f t="shared" si="35"/>
        <v>49.5</v>
      </c>
    </row>
    <row r="727" spans="1:8" x14ac:dyDescent="0.25">
      <c r="A727" s="2" t="str">
        <f>"ELEIP-6WW7-K"</f>
        <v>ELEIP-6WW7-K</v>
      </c>
      <c r="B727" s="2" t="str">
        <f>"ELEIP Einbaudownlight eckig, COB LED 6W, 3000K, starr, alu matt"</f>
        <v>ELEIP Einbaudownlight eckig, COB LED 6W, 3000K, starr, alu matt</v>
      </c>
      <c r="C727" s="16">
        <v>49.5</v>
      </c>
      <c r="D727" s="11">
        <v>127</v>
      </c>
      <c r="E727" s="7">
        <f t="shared" si="33"/>
        <v>1</v>
      </c>
      <c r="F727" s="22" t="str">
        <f>IF(ISERROR(VLOOKUP($A727,#REF!,3,0)),"x",VLOOKUP($A727,#REF!,3,FALSE))</f>
        <v>x</v>
      </c>
      <c r="G727" s="9">
        <f t="shared" si="34"/>
        <v>1</v>
      </c>
      <c r="H727" s="13">
        <f t="shared" si="35"/>
        <v>49.5</v>
      </c>
    </row>
    <row r="728" spans="1:8" x14ac:dyDescent="0.25">
      <c r="A728" s="2" t="str">
        <f>"ELES-6NW1-K"</f>
        <v>ELES-6NW1-K</v>
      </c>
      <c r="B728" s="2" t="str">
        <f>"ELES Einbaudownlight eckig, COB LED 6W, 4000K, schwenkbar, weiß"</f>
        <v>ELES Einbaudownlight eckig, COB LED 6W, 4000K, schwenkbar, weiß</v>
      </c>
      <c r="C728" s="16">
        <v>47</v>
      </c>
      <c r="D728" s="11">
        <v>127</v>
      </c>
      <c r="E728" s="7">
        <f t="shared" si="33"/>
        <v>1</v>
      </c>
      <c r="F728" s="22" t="str">
        <f>IF(ISERROR(VLOOKUP($A728,#REF!,3,0)),"x",VLOOKUP($A728,#REF!,3,FALSE))</f>
        <v>x</v>
      </c>
      <c r="G728" s="9">
        <f t="shared" si="34"/>
        <v>1</v>
      </c>
      <c r="H728" s="13">
        <f t="shared" si="35"/>
        <v>47</v>
      </c>
    </row>
    <row r="729" spans="1:8" x14ac:dyDescent="0.25">
      <c r="A729" s="2" t="str">
        <f>"ELES-6NW7-K"</f>
        <v>ELES-6NW7-K</v>
      </c>
      <c r="B729" s="2" t="str">
        <f>"ELES Einbaudownlight eckig, COB LED 6W, 4000K, schwenkbar, alu matt"</f>
        <v>ELES Einbaudownlight eckig, COB LED 6W, 4000K, schwenkbar, alu matt</v>
      </c>
      <c r="C729" s="16">
        <v>47</v>
      </c>
      <c r="D729" s="11">
        <v>127</v>
      </c>
      <c r="E729" s="7">
        <f t="shared" si="33"/>
        <v>1</v>
      </c>
      <c r="F729" s="22" t="str">
        <f>IF(ISERROR(VLOOKUP($A729,#REF!,3,0)),"x",VLOOKUP($A729,#REF!,3,FALSE))</f>
        <v>x</v>
      </c>
      <c r="G729" s="9">
        <f t="shared" si="34"/>
        <v>1</v>
      </c>
      <c r="H729" s="13">
        <f t="shared" si="35"/>
        <v>47</v>
      </c>
    </row>
    <row r="730" spans="1:8" x14ac:dyDescent="0.25">
      <c r="A730" s="2" t="str">
        <f>"ELES-6SW1-K"</f>
        <v>ELES-6SW1-K</v>
      </c>
      <c r="B730" s="2" t="str">
        <f>"ELES Einbaudownlight eckig, COB LED 6W, 2700K, schwenkbar, weiß"</f>
        <v>ELES Einbaudownlight eckig, COB LED 6W, 2700K, schwenkbar, weiß</v>
      </c>
      <c r="C730" s="16">
        <v>47</v>
      </c>
      <c r="D730" s="11">
        <v>127</v>
      </c>
      <c r="E730" s="7">
        <f t="shared" si="33"/>
        <v>1</v>
      </c>
      <c r="F730" s="22" t="str">
        <f>IF(ISERROR(VLOOKUP($A730,#REF!,3,0)),"x",VLOOKUP($A730,#REF!,3,FALSE))</f>
        <v>x</v>
      </c>
      <c r="G730" s="9">
        <f t="shared" si="34"/>
        <v>1</v>
      </c>
      <c r="H730" s="13">
        <f t="shared" si="35"/>
        <v>47</v>
      </c>
    </row>
    <row r="731" spans="1:8" x14ac:dyDescent="0.25">
      <c r="A731" s="2" t="str">
        <f>"ELES-6SW7-K"</f>
        <v>ELES-6SW7-K</v>
      </c>
      <c r="B731" s="2" t="str">
        <f>"ELES Einbaudownlight eckig, COB LED 6W, 2700K, schwenkbar, alu matt"</f>
        <v>ELES Einbaudownlight eckig, COB LED 6W, 2700K, schwenkbar, alu matt</v>
      </c>
      <c r="C731" s="16">
        <v>47</v>
      </c>
      <c r="D731" s="11">
        <v>127</v>
      </c>
      <c r="E731" s="7">
        <f t="shared" si="33"/>
        <v>1</v>
      </c>
      <c r="F731" s="22" t="str">
        <f>IF(ISERROR(VLOOKUP($A731,#REF!,3,0)),"x",VLOOKUP($A731,#REF!,3,FALSE))</f>
        <v>x</v>
      </c>
      <c r="G731" s="9">
        <f t="shared" si="34"/>
        <v>1</v>
      </c>
      <c r="H731" s="13">
        <f t="shared" si="35"/>
        <v>47</v>
      </c>
    </row>
    <row r="732" spans="1:8" x14ac:dyDescent="0.25">
      <c r="A732" s="2" t="str">
        <f>"ELES-6WW1-K"</f>
        <v>ELES-6WW1-K</v>
      </c>
      <c r="B732" s="2" t="str">
        <f>"ELES Einbaudownlight eckig, COB LED 6W, 3000K, schwenkbar, weiß"</f>
        <v>ELES Einbaudownlight eckig, COB LED 6W, 3000K, schwenkbar, weiß</v>
      </c>
      <c r="C732" s="16">
        <v>47</v>
      </c>
      <c r="D732" s="11">
        <v>127</v>
      </c>
      <c r="E732" s="7">
        <f t="shared" si="33"/>
        <v>1</v>
      </c>
      <c r="F732" s="22" t="str">
        <f>IF(ISERROR(VLOOKUP($A732,#REF!,3,0)),"x",VLOOKUP($A732,#REF!,3,FALSE))</f>
        <v>x</v>
      </c>
      <c r="G732" s="9">
        <f t="shared" si="34"/>
        <v>1</v>
      </c>
      <c r="H732" s="13">
        <f t="shared" si="35"/>
        <v>47</v>
      </c>
    </row>
    <row r="733" spans="1:8" x14ac:dyDescent="0.25">
      <c r="A733" s="2" t="str">
        <f>"ELES-6WW7-K"</f>
        <v>ELES-6WW7-K</v>
      </c>
      <c r="B733" s="2" t="str">
        <f>"ELES Einbaudownlight eckig, COB LED 6W, 3000K, schwenkbar, alu matt"</f>
        <v>ELES Einbaudownlight eckig, COB LED 6W, 3000K, schwenkbar, alu matt</v>
      </c>
      <c r="C733" s="16">
        <v>47</v>
      </c>
      <c r="D733" s="11">
        <v>127</v>
      </c>
      <c r="E733" s="7">
        <f t="shared" si="33"/>
        <v>1</v>
      </c>
      <c r="F733" s="22" t="str">
        <f>IF(ISERROR(VLOOKUP($A733,#REF!,3,0)),"x",VLOOKUP($A733,#REF!,3,FALSE))</f>
        <v>x</v>
      </c>
      <c r="G733" s="9">
        <f t="shared" si="34"/>
        <v>1</v>
      </c>
      <c r="H733" s="13">
        <f t="shared" si="35"/>
        <v>47</v>
      </c>
    </row>
    <row r="734" spans="1:8" x14ac:dyDescent="0.25">
      <c r="A734" s="2" t="str">
        <f>"ELKN-8NW1"</f>
        <v>ELKN-8NW1</v>
      </c>
      <c r="B734" s="2" t="str">
        <f>"ELKN Einbaudownlight rund, COB LED 8W, 4000K, schwenkbar 30°, weiss"</f>
        <v>ELKN Einbaudownlight rund, COB LED 8W, 4000K, schwenkbar 30°, weiss</v>
      </c>
      <c r="C734" s="16">
        <v>42.5</v>
      </c>
      <c r="D734" s="11">
        <v>125</v>
      </c>
      <c r="E734" s="7">
        <f t="shared" si="33"/>
        <v>1</v>
      </c>
      <c r="F734" s="22" t="str">
        <f>IF(ISERROR(VLOOKUP($A734,#REF!,3,0)),"x",VLOOKUP($A734,#REF!,3,FALSE))</f>
        <v>x</v>
      </c>
      <c r="G734" s="9">
        <f t="shared" si="34"/>
        <v>1</v>
      </c>
      <c r="H734" s="13">
        <f t="shared" si="35"/>
        <v>42.5</v>
      </c>
    </row>
    <row r="735" spans="1:8" x14ac:dyDescent="0.25">
      <c r="A735" s="2" t="str">
        <f>"ELKN-8SW1"</f>
        <v>ELKN-8SW1</v>
      </c>
      <c r="B735" s="2" t="str">
        <f>"ELK Einbaudownlight rund, COB LED 8W, 2700K, schwenkbar 30°, weiss"</f>
        <v>ELK Einbaudownlight rund, COB LED 8W, 2700K, schwenkbar 30°, weiss</v>
      </c>
      <c r="C735" s="16">
        <v>42.5</v>
      </c>
      <c r="D735" s="11">
        <v>125</v>
      </c>
      <c r="E735" s="7">
        <f t="shared" si="33"/>
        <v>1</v>
      </c>
      <c r="F735" s="22" t="str">
        <f>IF(ISERROR(VLOOKUP($A735,#REF!,3,0)),"x",VLOOKUP($A735,#REF!,3,FALSE))</f>
        <v>x</v>
      </c>
      <c r="G735" s="9">
        <f t="shared" si="34"/>
        <v>1</v>
      </c>
      <c r="H735" s="13">
        <f t="shared" si="35"/>
        <v>42.5</v>
      </c>
    </row>
    <row r="736" spans="1:8" x14ac:dyDescent="0.25">
      <c r="A736" s="2" t="str">
        <f>"ELKN-8WW1"</f>
        <v>ELKN-8WW1</v>
      </c>
      <c r="B736" s="2" t="str">
        <f>"ELK Einbaudownlight rund, COB LED 8W, 3000K, schwenkbar 30°, weiss"</f>
        <v>ELK Einbaudownlight rund, COB LED 8W, 3000K, schwenkbar 30°, weiss</v>
      </c>
      <c r="C736" s="16">
        <v>42.5</v>
      </c>
      <c r="D736" s="11">
        <v>125</v>
      </c>
      <c r="E736" s="7">
        <f t="shared" si="33"/>
        <v>1</v>
      </c>
      <c r="F736" s="22" t="str">
        <f>IF(ISERROR(VLOOKUP($A736,#REF!,3,0)),"x",VLOOKUP($A736,#REF!,3,FALSE))</f>
        <v>x</v>
      </c>
      <c r="G736" s="9">
        <f t="shared" si="34"/>
        <v>1</v>
      </c>
      <c r="H736" s="13">
        <f t="shared" si="35"/>
        <v>42.5</v>
      </c>
    </row>
    <row r="737" spans="1:8" x14ac:dyDescent="0.25">
      <c r="A737" s="2" t="str">
        <f>"ELO-13NW08"</f>
        <v>ELO-13NW08</v>
      </c>
      <c r="B737" s="2" t="str">
        <f>"ELOISE Wandleuchte, LED 13W, 360°, 4000K, Ibiza sand"</f>
        <v>ELOISE Wandleuchte, LED 13W, 360°, 4000K, Ibiza sand</v>
      </c>
      <c r="C737" s="16">
        <v>288.5</v>
      </c>
      <c r="D737" s="11">
        <v>251</v>
      </c>
      <c r="E737" s="7">
        <f t="shared" si="33"/>
        <v>1</v>
      </c>
      <c r="F737" s="22" t="str">
        <f>IF(ISERROR(VLOOKUP($A737,#REF!,3,0)),"x",VLOOKUP($A737,#REF!,3,FALSE))</f>
        <v>x</v>
      </c>
      <c r="G737" s="9">
        <f t="shared" si="34"/>
        <v>1</v>
      </c>
      <c r="H737" s="13">
        <f t="shared" si="35"/>
        <v>288.5</v>
      </c>
    </row>
    <row r="738" spans="1:8" x14ac:dyDescent="0.25">
      <c r="A738" s="2" t="str">
        <f>"ELO-13NW1"</f>
        <v>ELO-13NW1</v>
      </c>
      <c r="B738" s="2" t="str">
        <f>"ELOISE Wandleuchte, LED 13W, 360°, 4000K,  weiß"</f>
        <v>ELOISE Wandleuchte, LED 13W, 360°, 4000K,  weiß</v>
      </c>
      <c r="C738" s="16">
        <v>288.5</v>
      </c>
      <c r="D738" s="11">
        <v>251</v>
      </c>
      <c r="E738" s="7">
        <f t="shared" si="33"/>
        <v>1</v>
      </c>
      <c r="F738" s="22" t="str">
        <f>IF(ISERROR(VLOOKUP($A738,#REF!,3,0)),"x",VLOOKUP($A738,#REF!,3,FALSE))</f>
        <v>x</v>
      </c>
      <c r="G738" s="9">
        <f t="shared" si="34"/>
        <v>1</v>
      </c>
      <c r="H738" s="13">
        <f t="shared" si="35"/>
        <v>288.5</v>
      </c>
    </row>
    <row r="739" spans="1:8" x14ac:dyDescent="0.25">
      <c r="A739" s="2" t="str">
        <f>"ELO-13NW6"</f>
        <v>ELO-13NW6</v>
      </c>
      <c r="B739" s="2" t="str">
        <f>"ELOISE Wandleuchte, LED 13W, 360°, 4000K, anthrazit"</f>
        <v>ELOISE Wandleuchte, LED 13W, 360°, 4000K, anthrazit</v>
      </c>
      <c r="C739" s="16">
        <v>288.5</v>
      </c>
      <c r="D739" s="11">
        <v>251</v>
      </c>
      <c r="E739" s="7">
        <f t="shared" si="33"/>
        <v>1</v>
      </c>
      <c r="F739" s="22" t="str">
        <f>IF(ISERROR(VLOOKUP($A739,#REF!,3,0)),"x",VLOOKUP($A739,#REF!,3,FALSE))</f>
        <v>x</v>
      </c>
      <c r="G739" s="9">
        <f t="shared" si="34"/>
        <v>1</v>
      </c>
      <c r="H739" s="13">
        <f t="shared" si="35"/>
        <v>288.5</v>
      </c>
    </row>
    <row r="740" spans="1:8" x14ac:dyDescent="0.25">
      <c r="A740" s="2" t="str">
        <f>"ELO-13NW7"</f>
        <v>ELO-13NW7</v>
      </c>
      <c r="B740" s="2" t="str">
        <f>"ELOISE Wandleuchte, LED 13W, 360°, 4000K, alugrau"</f>
        <v>ELOISE Wandleuchte, LED 13W, 360°, 4000K, alugrau</v>
      </c>
      <c r="C740" s="16">
        <v>288.5</v>
      </c>
      <c r="D740" s="11">
        <v>251</v>
      </c>
      <c r="E740" s="7">
        <f t="shared" si="33"/>
        <v>1</v>
      </c>
      <c r="F740" s="22" t="str">
        <f>IF(ISERROR(VLOOKUP($A740,#REF!,3,0)),"x",VLOOKUP($A740,#REF!,3,FALSE))</f>
        <v>x</v>
      </c>
      <c r="G740" s="9">
        <f t="shared" si="34"/>
        <v>1</v>
      </c>
      <c r="H740" s="13">
        <f t="shared" si="35"/>
        <v>288.5</v>
      </c>
    </row>
    <row r="741" spans="1:8" x14ac:dyDescent="0.25">
      <c r="A741" s="2" t="str">
        <f>"ELO-13WW08"</f>
        <v>ELO-13WW08</v>
      </c>
      <c r="B741" s="2" t="str">
        <f>"ELOISE Wandleuchte, LED 13W, 360°, 3000K, Ibiza sand"</f>
        <v>ELOISE Wandleuchte, LED 13W, 360°, 3000K, Ibiza sand</v>
      </c>
      <c r="C741" s="16">
        <v>288.5</v>
      </c>
      <c r="D741" s="11">
        <v>251</v>
      </c>
      <c r="E741" s="7">
        <f t="shared" si="33"/>
        <v>1</v>
      </c>
      <c r="F741" s="22" t="str">
        <f>IF(ISERROR(VLOOKUP($A741,#REF!,3,0)),"x",VLOOKUP($A741,#REF!,3,FALSE))</f>
        <v>x</v>
      </c>
      <c r="G741" s="9">
        <f t="shared" si="34"/>
        <v>1</v>
      </c>
      <c r="H741" s="13">
        <f t="shared" si="35"/>
        <v>288.5</v>
      </c>
    </row>
    <row r="742" spans="1:8" x14ac:dyDescent="0.25">
      <c r="A742" s="2" t="str">
        <f>"ELO-13WW1"</f>
        <v>ELO-13WW1</v>
      </c>
      <c r="B742" s="2" t="str">
        <f>"ELOISE Wandleuchte, LED 13W, 360°, 3000K,  weiß"</f>
        <v>ELOISE Wandleuchte, LED 13W, 360°, 3000K,  weiß</v>
      </c>
      <c r="C742" s="16">
        <v>288.5</v>
      </c>
      <c r="D742" s="11">
        <v>251</v>
      </c>
      <c r="E742" s="7">
        <f t="shared" si="33"/>
        <v>1</v>
      </c>
      <c r="F742" s="22" t="str">
        <f>IF(ISERROR(VLOOKUP($A742,#REF!,3,0)),"x",VLOOKUP($A742,#REF!,3,FALSE))</f>
        <v>x</v>
      </c>
      <c r="G742" s="9">
        <f t="shared" si="34"/>
        <v>1</v>
      </c>
      <c r="H742" s="13">
        <f t="shared" si="35"/>
        <v>288.5</v>
      </c>
    </row>
    <row r="743" spans="1:8" x14ac:dyDescent="0.25">
      <c r="A743" s="2" t="str">
        <f>"ELO-13WW6"</f>
        <v>ELO-13WW6</v>
      </c>
      <c r="B743" s="2" t="str">
        <f>"ELOISE Wandleuchte, LED 13W, 360°, 3000K, anthrazit"</f>
        <v>ELOISE Wandleuchte, LED 13W, 360°, 3000K, anthrazit</v>
      </c>
      <c r="C743" s="16">
        <v>288.5</v>
      </c>
      <c r="D743" s="11">
        <v>251</v>
      </c>
      <c r="E743" s="7">
        <f t="shared" si="33"/>
        <v>1</v>
      </c>
      <c r="F743" s="22" t="str">
        <f>IF(ISERROR(VLOOKUP($A743,#REF!,3,0)),"x",VLOOKUP($A743,#REF!,3,FALSE))</f>
        <v>x</v>
      </c>
      <c r="G743" s="9">
        <f t="shared" si="34"/>
        <v>1</v>
      </c>
      <c r="H743" s="13">
        <f t="shared" si="35"/>
        <v>288.5</v>
      </c>
    </row>
    <row r="744" spans="1:8" x14ac:dyDescent="0.25">
      <c r="A744" s="2" t="str">
        <f>"ELO-13WW7"</f>
        <v>ELO-13WW7</v>
      </c>
      <c r="B744" s="2" t="str">
        <f>"ELOISE Wandleuchte, LED 13W, 360°, 3000K, alugrau"</f>
        <v>ELOISE Wandleuchte, LED 13W, 360°, 3000K, alugrau</v>
      </c>
      <c r="C744" s="16">
        <v>288.5</v>
      </c>
      <c r="D744" s="11">
        <v>251</v>
      </c>
      <c r="E744" s="7">
        <f t="shared" si="33"/>
        <v>1</v>
      </c>
      <c r="F744" s="22" t="str">
        <f>IF(ISERROR(VLOOKUP($A744,#REF!,3,0)),"x",VLOOKUP($A744,#REF!,3,FALSE))</f>
        <v>x</v>
      </c>
      <c r="G744" s="9">
        <f t="shared" si="34"/>
        <v>1</v>
      </c>
      <c r="H744" s="13">
        <f t="shared" si="35"/>
        <v>288.5</v>
      </c>
    </row>
    <row r="745" spans="1:8" x14ac:dyDescent="0.25">
      <c r="A745" s="2" t="str">
        <f>"ELRE-40SW1"</f>
        <v>ELRE-40SW1</v>
      </c>
      <c r="B745" s="2" t="str">
        <f>"ELRE Einbauleuchte, CoB LED 44W, 2700K, Rahmen weiß"</f>
        <v>ELRE Einbauleuchte, CoB LED 44W, 2700K, Rahmen weiß</v>
      </c>
      <c r="C745" s="16">
        <v>275</v>
      </c>
      <c r="D745" s="11">
        <v>113</v>
      </c>
      <c r="E745" s="7">
        <f t="shared" si="33"/>
        <v>1</v>
      </c>
      <c r="F745" s="22" t="str">
        <f>IF(ISERROR(VLOOKUP($A745,#REF!,3,0)),"x",VLOOKUP($A745,#REF!,3,FALSE))</f>
        <v>x</v>
      </c>
      <c r="G745" s="9">
        <f t="shared" si="34"/>
        <v>1</v>
      </c>
      <c r="H745" s="13">
        <f t="shared" si="35"/>
        <v>275</v>
      </c>
    </row>
    <row r="746" spans="1:8" x14ac:dyDescent="0.25">
      <c r="A746" s="2" t="str">
        <f>"ELRIP-6NW1-K"</f>
        <v>ELRIP-6NW1-K</v>
      </c>
      <c r="B746" s="2" t="str">
        <f>"ELRIP Einbaudownlight rund, COB LED 6W,4000K, starr, weiß"</f>
        <v>ELRIP Einbaudownlight rund, COB LED 6W,4000K, starr, weiß</v>
      </c>
      <c r="C746" s="16">
        <v>42.5</v>
      </c>
      <c r="D746" s="11">
        <v>127</v>
      </c>
      <c r="E746" s="7">
        <f t="shared" si="33"/>
        <v>1</v>
      </c>
      <c r="F746" s="22" t="str">
        <f>IF(ISERROR(VLOOKUP($A746,#REF!,3,0)),"x",VLOOKUP($A746,#REF!,3,FALSE))</f>
        <v>x</v>
      </c>
      <c r="G746" s="9">
        <f t="shared" si="34"/>
        <v>1</v>
      </c>
      <c r="H746" s="13">
        <f t="shared" si="35"/>
        <v>42.5</v>
      </c>
    </row>
    <row r="747" spans="1:8" x14ac:dyDescent="0.25">
      <c r="A747" s="2" t="str">
        <f>"ELRIP-6NW2-K"</f>
        <v>ELRIP-6NW2-K</v>
      </c>
      <c r="B747" s="2" t="str">
        <f>"ELRIP Einbaudownlight rund, COB LED 6W,4000K, starr, schwarz"</f>
        <v>ELRIP Einbaudownlight rund, COB LED 6W,4000K, starr, schwarz</v>
      </c>
      <c r="C747" s="16">
        <v>42.5</v>
      </c>
      <c r="D747" s="11">
        <v>127</v>
      </c>
      <c r="E747" s="7">
        <f t="shared" si="33"/>
        <v>1</v>
      </c>
      <c r="F747" s="22" t="str">
        <f>IF(ISERROR(VLOOKUP($A747,#REF!,3,0)),"x",VLOOKUP($A747,#REF!,3,FALSE))</f>
        <v>x</v>
      </c>
      <c r="G747" s="9">
        <f t="shared" si="34"/>
        <v>1</v>
      </c>
      <c r="H747" s="13">
        <f t="shared" si="35"/>
        <v>42.5</v>
      </c>
    </row>
    <row r="748" spans="1:8" x14ac:dyDescent="0.25">
      <c r="A748" s="2" t="str">
        <f>"ELRIP-6NW7-K"</f>
        <v>ELRIP-6NW7-K</v>
      </c>
      <c r="B748" s="2" t="str">
        <f>"ELRIP Einbaudownlight rund, COB LED 6W, 4000K, starr, alu matt"</f>
        <v>ELRIP Einbaudownlight rund, COB LED 6W, 4000K, starr, alu matt</v>
      </c>
      <c r="C748" s="16">
        <v>42.5</v>
      </c>
      <c r="D748" s="11">
        <v>127</v>
      </c>
      <c r="E748" s="7">
        <f t="shared" si="33"/>
        <v>1</v>
      </c>
      <c r="F748" s="22" t="str">
        <f>IF(ISERROR(VLOOKUP($A748,#REF!,3,0)),"x",VLOOKUP($A748,#REF!,3,FALSE))</f>
        <v>x</v>
      </c>
      <c r="G748" s="9">
        <f t="shared" si="34"/>
        <v>1</v>
      </c>
      <c r="H748" s="13">
        <f t="shared" si="35"/>
        <v>42.5</v>
      </c>
    </row>
    <row r="749" spans="1:8" x14ac:dyDescent="0.25">
      <c r="A749" s="2" t="str">
        <f>"ELRIP-6SW1-K"</f>
        <v>ELRIP-6SW1-K</v>
      </c>
      <c r="B749" s="2" t="str">
        <f>"ELRIP Einbaudownlight rund, COB LED 6W, 2700K, starr, weiß"</f>
        <v>ELRIP Einbaudownlight rund, COB LED 6W, 2700K, starr, weiß</v>
      </c>
      <c r="C749" s="16">
        <v>42.5</v>
      </c>
      <c r="D749" s="11">
        <v>127</v>
      </c>
      <c r="E749" s="7">
        <f t="shared" si="33"/>
        <v>1</v>
      </c>
      <c r="F749" s="22" t="str">
        <f>IF(ISERROR(VLOOKUP($A749,#REF!,3,0)),"x",VLOOKUP($A749,#REF!,3,FALSE))</f>
        <v>x</v>
      </c>
      <c r="G749" s="9">
        <f t="shared" si="34"/>
        <v>1</v>
      </c>
      <c r="H749" s="13">
        <f t="shared" si="35"/>
        <v>42.5</v>
      </c>
    </row>
    <row r="750" spans="1:8" x14ac:dyDescent="0.25">
      <c r="A750" s="2" t="str">
        <f>"ELRIP-6SW2-K"</f>
        <v>ELRIP-6SW2-K</v>
      </c>
      <c r="B750" s="2" t="str">
        <f>"ELRIP Einbaudownlight rund, COB LED 6W,2700K, starr, schwarz"</f>
        <v>ELRIP Einbaudownlight rund, COB LED 6W,2700K, starr, schwarz</v>
      </c>
      <c r="C750" s="16">
        <v>42.5</v>
      </c>
      <c r="D750" s="11">
        <v>127</v>
      </c>
      <c r="E750" s="7">
        <f t="shared" si="33"/>
        <v>1</v>
      </c>
      <c r="F750" s="22" t="str">
        <f>IF(ISERROR(VLOOKUP($A750,#REF!,3,0)),"x",VLOOKUP($A750,#REF!,3,FALSE))</f>
        <v>x</v>
      </c>
      <c r="G750" s="9">
        <f t="shared" si="34"/>
        <v>1</v>
      </c>
      <c r="H750" s="13">
        <f t="shared" si="35"/>
        <v>42.5</v>
      </c>
    </row>
    <row r="751" spans="1:8" x14ac:dyDescent="0.25">
      <c r="A751" s="2" t="str">
        <f>"ELRIP-6SW7-K"</f>
        <v>ELRIP-6SW7-K</v>
      </c>
      <c r="B751" s="2" t="str">
        <f>"ELRIP Einbaudownlight rund, COB LED 6W, 2700K, starr, alu matt"</f>
        <v>ELRIP Einbaudownlight rund, COB LED 6W, 2700K, starr, alu matt</v>
      </c>
      <c r="C751" s="16">
        <v>42.5</v>
      </c>
      <c r="D751" s="11">
        <v>127</v>
      </c>
      <c r="E751" s="7">
        <f t="shared" si="33"/>
        <v>1</v>
      </c>
      <c r="F751" s="22" t="str">
        <f>IF(ISERROR(VLOOKUP($A751,#REF!,3,0)),"x",VLOOKUP($A751,#REF!,3,FALSE))</f>
        <v>x</v>
      </c>
      <c r="G751" s="9">
        <f t="shared" si="34"/>
        <v>1</v>
      </c>
      <c r="H751" s="13">
        <f t="shared" si="35"/>
        <v>42.5</v>
      </c>
    </row>
    <row r="752" spans="1:8" x14ac:dyDescent="0.25">
      <c r="A752" s="2" t="str">
        <f>"ELRIP-6WW1-K"</f>
        <v>ELRIP-6WW1-K</v>
      </c>
      <c r="B752" s="2" t="str">
        <f>"ELRIP Einbaudownlight rund, COB LED 6W, 3000K, starr, weiß"</f>
        <v>ELRIP Einbaudownlight rund, COB LED 6W, 3000K, starr, weiß</v>
      </c>
      <c r="C752" s="16">
        <v>42.5</v>
      </c>
      <c r="D752" s="11">
        <v>127</v>
      </c>
      <c r="E752" s="7">
        <f t="shared" si="33"/>
        <v>1</v>
      </c>
      <c r="F752" s="22" t="str">
        <f>IF(ISERROR(VLOOKUP($A752,#REF!,3,0)),"x",VLOOKUP($A752,#REF!,3,FALSE))</f>
        <v>x</v>
      </c>
      <c r="G752" s="9">
        <f t="shared" si="34"/>
        <v>1</v>
      </c>
      <c r="H752" s="13">
        <f t="shared" si="35"/>
        <v>42.5</v>
      </c>
    </row>
    <row r="753" spans="1:8" x14ac:dyDescent="0.25">
      <c r="A753" s="2" t="str">
        <f>"ELRIP-6WW2-K"</f>
        <v>ELRIP-6WW2-K</v>
      </c>
      <c r="B753" s="2" t="str">
        <f>"ELRIP Einbaudownlight rund, COB LED 6W,3000K, starr, schwarz"</f>
        <v>ELRIP Einbaudownlight rund, COB LED 6W,3000K, starr, schwarz</v>
      </c>
      <c r="C753" s="16">
        <v>42.5</v>
      </c>
      <c r="D753" s="11">
        <v>127</v>
      </c>
      <c r="E753" s="7">
        <f t="shared" si="33"/>
        <v>1</v>
      </c>
      <c r="F753" s="22" t="str">
        <f>IF(ISERROR(VLOOKUP($A753,#REF!,3,0)),"x",VLOOKUP($A753,#REF!,3,FALSE))</f>
        <v>x</v>
      </c>
      <c r="G753" s="9">
        <f t="shared" si="34"/>
        <v>1</v>
      </c>
      <c r="H753" s="13">
        <f t="shared" si="35"/>
        <v>42.5</v>
      </c>
    </row>
    <row r="754" spans="1:8" x14ac:dyDescent="0.25">
      <c r="A754" s="2" t="str">
        <f>"ELRIP-6WW7-K"</f>
        <v>ELRIP-6WW7-K</v>
      </c>
      <c r="B754" s="2" t="str">
        <f>"ELRIP Einbaudownlight rund, COB LED 6W, 3000K, starr, alu matt"</f>
        <v>ELRIP Einbaudownlight rund, COB LED 6W, 3000K, starr, alu matt</v>
      </c>
      <c r="C754" s="16">
        <v>42.5</v>
      </c>
      <c r="D754" s="11">
        <v>127</v>
      </c>
      <c r="E754" s="7">
        <f t="shared" si="33"/>
        <v>1</v>
      </c>
      <c r="F754" s="22" t="str">
        <f>IF(ISERROR(VLOOKUP($A754,#REF!,3,0)),"x",VLOOKUP($A754,#REF!,3,FALSE))</f>
        <v>x</v>
      </c>
      <c r="G754" s="9">
        <f t="shared" si="34"/>
        <v>1</v>
      </c>
      <c r="H754" s="13">
        <f t="shared" si="35"/>
        <v>42.5</v>
      </c>
    </row>
    <row r="755" spans="1:8" x14ac:dyDescent="0.25">
      <c r="A755" s="2" t="str">
        <f>"ELRS-6DTW1"</f>
        <v>ELRS-6DTW1</v>
      </c>
      <c r="B755" s="2" t="str">
        <f>"ELRS Einbaudownlight rund, COB LED 7W, 1800-3000K, schwenkbar, weiß"</f>
        <v>ELRS Einbaudownlight rund, COB LED 7W, 1800-3000K, schwenkbar, weiß</v>
      </c>
      <c r="C755" s="16">
        <v>47.5</v>
      </c>
      <c r="D755" s="11">
        <v>127</v>
      </c>
      <c r="E755" s="7">
        <f t="shared" si="33"/>
        <v>1</v>
      </c>
      <c r="F755" s="22" t="str">
        <f>IF(ISERROR(VLOOKUP($A755,#REF!,3,0)),"x",VLOOKUP($A755,#REF!,3,FALSE))</f>
        <v>x</v>
      </c>
      <c r="G755" s="9">
        <f t="shared" si="34"/>
        <v>1</v>
      </c>
      <c r="H755" s="13">
        <f t="shared" si="35"/>
        <v>47.5</v>
      </c>
    </row>
    <row r="756" spans="1:8" x14ac:dyDescent="0.25">
      <c r="A756" s="2" t="str">
        <f>"ELRS-6DTW2"</f>
        <v>ELRS-6DTW2</v>
      </c>
      <c r="B756" s="2" t="str">
        <f>"ELRS Einbaudownlight rund, COB LED 7W, 1800-3000K, schwenkbar, schwarz"</f>
        <v>ELRS Einbaudownlight rund, COB LED 7W, 1800-3000K, schwenkbar, schwarz</v>
      </c>
      <c r="C756" s="16">
        <v>47.5</v>
      </c>
      <c r="D756" s="11">
        <v>127</v>
      </c>
      <c r="E756" s="7">
        <f t="shared" si="33"/>
        <v>1</v>
      </c>
      <c r="F756" s="22" t="str">
        <f>IF(ISERROR(VLOOKUP($A756,#REF!,3,0)),"x",VLOOKUP($A756,#REF!,3,FALSE))</f>
        <v>x</v>
      </c>
      <c r="G756" s="9">
        <f t="shared" si="34"/>
        <v>1</v>
      </c>
      <c r="H756" s="13">
        <f t="shared" si="35"/>
        <v>47.5</v>
      </c>
    </row>
    <row r="757" spans="1:8" x14ac:dyDescent="0.25">
      <c r="A757" s="2" t="str">
        <f>"ELRS-6DTW7"</f>
        <v>ELRS-6DTW7</v>
      </c>
      <c r="B757" s="2" t="str">
        <f>"ELRS Einbaudownlight rund, COB LED 7W, 1800-3000K, schwenkbar, alu matt"</f>
        <v>ELRS Einbaudownlight rund, COB LED 7W, 1800-3000K, schwenkbar, alu matt</v>
      </c>
      <c r="C757" s="16">
        <v>57.5</v>
      </c>
      <c r="D757" s="11">
        <v>127</v>
      </c>
      <c r="E757" s="7">
        <f t="shared" si="33"/>
        <v>1</v>
      </c>
      <c r="F757" s="22" t="str">
        <f>IF(ISERROR(VLOOKUP($A757,#REF!,3,0)),"x",VLOOKUP($A757,#REF!,3,FALSE))</f>
        <v>x</v>
      </c>
      <c r="G757" s="9">
        <f t="shared" si="34"/>
        <v>1</v>
      </c>
      <c r="H757" s="13">
        <f t="shared" si="35"/>
        <v>57.5</v>
      </c>
    </row>
    <row r="758" spans="1:8" x14ac:dyDescent="0.25">
      <c r="A758" s="2" t="str">
        <f>"ELRS-6NW1-K"</f>
        <v>ELRS-6NW1-K</v>
      </c>
      <c r="B758" s="2" t="str">
        <f>"ELRS Einbaudownlight rund, COB LED 6W, 4000K, schwenkbar, weiß"</f>
        <v>ELRS Einbaudownlight rund, COB LED 6W, 4000K, schwenkbar, weiß</v>
      </c>
      <c r="C758" s="16">
        <v>40</v>
      </c>
      <c r="D758" s="11">
        <v>127</v>
      </c>
      <c r="E758" s="7">
        <f t="shared" si="33"/>
        <v>1</v>
      </c>
      <c r="F758" s="22" t="str">
        <f>IF(ISERROR(VLOOKUP($A758,#REF!,3,0)),"x",VLOOKUP($A758,#REF!,3,FALSE))</f>
        <v>x</v>
      </c>
      <c r="G758" s="9">
        <f t="shared" si="34"/>
        <v>1</v>
      </c>
      <c r="H758" s="13">
        <f t="shared" si="35"/>
        <v>40</v>
      </c>
    </row>
    <row r="759" spans="1:8" x14ac:dyDescent="0.25">
      <c r="A759" s="2" t="str">
        <f>"ELRS-6NW2-K"</f>
        <v>ELRS-6NW2-K</v>
      </c>
      <c r="B759" s="2" t="str">
        <f>"ELRS Einbaudownlight rund, COB LED 6W, 4000K, schwenkbar, schwarz"</f>
        <v>ELRS Einbaudownlight rund, COB LED 6W, 4000K, schwenkbar, schwarz</v>
      </c>
      <c r="C759" s="16">
        <v>40</v>
      </c>
      <c r="D759" s="11">
        <v>127</v>
      </c>
      <c r="E759" s="7">
        <f t="shared" si="33"/>
        <v>1</v>
      </c>
      <c r="F759" s="22" t="str">
        <f>IF(ISERROR(VLOOKUP($A759,#REF!,3,0)),"x",VLOOKUP($A759,#REF!,3,FALSE))</f>
        <v>x</v>
      </c>
      <c r="G759" s="9">
        <f t="shared" si="34"/>
        <v>1</v>
      </c>
      <c r="H759" s="13">
        <f t="shared" si="35"/>
        <v>40</v>
      </c>
    </row>
    <row r="760" spans="1:8" x14ac:dyDescent="0.25">
      <c r="A760" s="2" t="str">
        <f>"ELRS-6NW7-K"</f>
        <v>ELRS-6NW7-K</v>
      </c>
      <c r="B760" s="2" t="str">
        <f>"ELRS Einbaudownlight rund, COB LED 6W, 4000K, schwenkbar, alu matt"</f>
        <v>ELRS Einbaudownlight rund, COB LED 6W, 4000K, schwenkbar, alu matt</v>
      </c>
      <c r="C760" s="16">
        <v>40</v>
      </c>
      <c r="D760" s="11">
        <v>127</v>
      </c>
      <c r="E760" s="7">
        <f t="shared" si="33"/>
        <v>1</v>
      </c>
      <c r="F760" s="22" t="str">
        <f>IF(ISERROR(VLOOKUP($A760,#REF!,3,0)),"x",VLOOKUP($A760,#REF!,3,FALSE))</f>
        <v>x</v>
      </c>
      <c r="G760" s="9">
        <f t="shared" si="34"/>
        <v>1</v>
      </c>
      <c r="H760" s="13">
        <f t="shared" si="35"/>
        <v>40</v>
      </c>
    </row>
    <row r="761" spans="1:8" x14ac:dyDescent="0.25">
      <c r="A761" s="2" t="str">
        <f>"ELRS-6SW1-K"</f>
        <v>ELRS-6SW1-K</v>
      </c>
      <c r="B761" s="2" t="str">
        <f>"ELRS Einbaudownlight rund, COB LED 6W, 2700K, schwenkbar, weiß"</f>
        <v>ELRS Einbaudownlight rund, COB LED 6W, 2700K, schwenkbar, weiß</v>
      </c>
      <c r="C761" s="16">
        <v>40</v>
      </c>
      <c r="D761" s="11">
        <v>127</v>
      </c>
      <c r="E761" s="7">
        <f t="shared" si="33"/>
        <v>1</v>
      </c>
      <c r="F761" s="22" t="str">
        <f>IF(ISERROR(VLOOKUP($A761,#REF!,3,0)),"x",VLOOKUP($A761,#REF!,3,FALSE))</f>
        <v>x</v>
      </c>
      <c r="G761" s="9">
        <f t="shared" si="34"/>
        <v>1</v>
      </c>
      <c r="H761" s="13">
        <f t="shared" si="35"/>
        <v>40</v>
      </c>
    </row>
    <row r="762" spans="1:8" x14ac:dyDescent="0.25">
      <c r="A762" s="2" t="str">
        <f>"ELRS-6SW2-K"</f>
        <v>ELRS-6SW2-K</v>
      </c>
      <c r="B762" s="2" t="str">
        <f>"ELRS Einbaudownlight rund, COB LED 6W, 2700K, schwenkbar, schwarz"</f>
        <v>ELRS Einbaudownlight rund, COB LED 6W, 2700K, schwenkbar, schwarz</v>
      </c>
      <c r="C762" s="16">
        <v>40</v>
      </c>
      <c r="D762" s="11">
        <v>127</v>
      </c>
      <c r="E762" s="7">
        <f t="shared" si="33"/>
        <v>1</v>
      </c>
      <c r="F762" s="22" t="str">
        <f>IF(ISERROR(VLOOKUP($A762,#REF!,3,0)),"x",VLOOKUP($A762,#REF!,3,FALSE))</f>
        <v>x</v>
      </c>
      <c r="G762" s="9">
        <f t="shared" si="34"/>
        <v>1</v>
      </c>
      <c r="H762" s="13">
        <f t="shared" si="35"/>
        <v>40</v>
      </c>
    </row>
    <row r="763" spans="1:8" x14ac:dyDescent="0.25">
      <c r="A763" s="2" t="str">
        <f>"ELRS-6SW7-K"</f>
        <v>ELRS-6SW7-K</v>
      </c>
      <c r="B763" s="2" t="str">
        <f>"ELRS Einbaudownlight rund, COB LED 6W, 2700K, schwenkbar, alu matt"</f>
        <v>ELRS Einbaudownlight rund, COB LED 6W, 2700K, schwenkbar, alu matt</v>
      </c>
      <c r="C763" s="16">
        <v>40</v>
      </c>
      <c r="D763" s="11">
        <v>127</v>
      </c>
      <c r="E763" s="7">
        <f t="shared" si="33"/>
        <v>1</v>
      </c>
      <c r="F763" s="22" t="str">
        <f>IF(ISERROR(VLOOKUP($A763,#REF!,3,0)),"x",VLOOKUP($A763,#REF!,3,FALSE))</f>
        <v>x</v>
      </c>
      <c r="G763" s="9">
        <f t="shared" si="34"/>
        <v>1</v>
      </c>
      <c r="H763" s="13">
        <f t="shared" si="35"/>
        <v>40</v>
      </c>
    </row>
    <row r="764" spans="1:8" x14ac:dyDescent="0.25">
      <c r="A764" s="2" t="str">
        <f>"ELRS-6WW1-K"</f>
        <v>ELRS-6WW1-K</v>
      </c>
      <c r="B764" s="2" t="str">
        <f>"ELRS Einbaudownlight rund, COB LED 6W, 3000K, schwenkbar, weiß"</f>
        <v>ELRS Einbaudownlight rund, COB LED 6W, 3000K, schwenkbar, weiß</v>
      </c>
      <c r="C764" s="16">
        <v>40</v>
      </c>
      <c r="D764" s="11">
        <v>127</v>
      </c>
      <c r="E764" s="7">
        <f t="shared" si="33"/>
        <v>1</v>
      </c>
      <c r="F764" s="22" t="str">
        <f>IF(ISERROR(VLOOKUP($A764,#REF!,3,0)),"x",VLOOKUP($A764,#REF!,3,FALSE))</f>
        <v>x</v>
      </c>
      <c r="G764" s="9">
        <f t="shared" si="34"/>
        <v>1</v>
      </c>
      <c r="H764" s="13">
        <f t="shared" si="35"/>
        <v>40</v>
      </c>
    </row>
    <row r="765" spans="1:8" x14ac:dyDescent="0.25">
      <c r="A765" s="2" t="str">
        <f>"ELRS-6WW2-K"</f>
        <v>ELRS-6WW2-K</v>
      </c>
      <c r="B765" s="2" t="str">
        <f>"ELRS Einbaudownlight rund, COB LED 6W, 3000K, schwenkbar, schwarz"</f>
        <v>ELRS Einbaudownlight rund, COB LED 6W, 3000K, schwenkbar, schwarz</v>
      </c>
      <c r="C765" s="16">
        <v>40</v>
      </c>
      <c r="D765" s="11">
        <v>127</v>
      </c>
      <c r="E765" s="7">
        <f t="shared" si="33"/>
        <v>1</v>
      </c>
      <c r="F765" s="22" t="str">
        <f>IF(ISERROR(VLOOKUP($A765,#REF!,3,0)),"x",VLOOKUP($A765,#REF!,3,FALSE))</f>
        <v>x</v>
      </c>
      <c r="G765" s="9">
        <f t="shared" si="34"/>
        <v>1</v>
      </c>
      <c r="H765" s="13">
        <f t="shared" si="35"/>
        <v>40</v>
      </c>
    </row>
    <row r="766" spans="1:8" x14ac:dyDescent="0.25">
      <c r="A766" s="2" t="str">
        <f>"ELRS-6WW7-K"</f>
        <v>ELRS-6WW7-K</v>
      </c>
      <c r="B766" s="2" t="str">
        <f>"ELRS Einbaudownlight rund, COB LED 6W, 3000K, schwenkbar, alu matt"</f>
        <v>ELRS Einbaudownlight rund, COB LED 6W, 3000K, schwenkbar, alu matt</v>
      </c>
      <c r="C766" s="16">
        <v>40</v>
      </c>
      <c r="D766" s="11">
        <v>127</v>
      </c>
      <c r="E766" s="7">
        <f t="shared" si="33"/>
        <v>1</v>
      </c>
      <c r="F766" s="22" t="str">
        <f>IF(ISERROR(VLOOKUP($A766,#REF!,3,0)),"x",VLOOKUP($A766,#REF!,3,FALSE))</f>
        <v>x</v>
      </c>
      <c r="G766" s="9">
        <f t="shared" si="34"/>
        <v>1</v>
      </c>
      <c r="H766" s="13">
        <f t="shared" si="35"/>
        <v>40</v>
      </c>
    </row>
    <row r="767" spans="1:8" x14ac:dyDescent="0.25">
      <c r="A767" s="2" t="str">
        <f>"ENMB-6801"</f>
        <v>ENMB-6801</v>
      </c>
      <c r="B767" s="2" t="str">
        <f>"NV-Downlight, Gx5,3, rund, max. 50W, inkl. Blattfedern, weiß"</f>
        <v>NV-Downlight, Gx5,3, rund, max. 50W, inkl. Blattfedern, weiß</v>
      </c>
      <c r="C767" s="16">
        <v>9.5</v>
      </c>
      <c r="D767" s="11">
        <v>135</v>
      </c>
      <c r="E767" s="7">
        <f t="shared" si="33"/>
        <v>1</v>
      </c>
      <c r="F767" s="22" t="str">
        <f>IF(ISERROR(VLOOKUP($A767,#REF!,3,0)),"x",VLOOKUP($A767,#REF!,3,FALSE))</f>
        <v>x</v>
      </c>
      <c r="G767" s="9">
        <f t="shared" si="34"/>
        <v>1</v>
      </c>
      <c r="H767" s="13">
        <f t="shared" si="35"/>
        <v>9.5</v>
      </c>
    </row>
    <row r="768" spans="1:8" x14ac:dyDescent="0.25">
      <c r="A768" s="2" t="str">
        <f>"ENMB-6805"</f>
        <v>ENMB-6805</v>
      </c>
      <c r="B768" s="2" t="str">
        <f>"NV-Downlight, Gx5,3, rund, max. 50W, inkl. Blattfedern, chrom gebürstet"</f>
        <v>NV-Downlight, Gx5,3, rund, max. 50W, inkl. Blattfedern, chrom gebürstet</v>
      </c>
      <c r="C768" s="16">
        <v>10.5</v>
      </c>
      <c r="D768" s="11">
        <v>135</v>
      </c>
      <c r="E768" s="7">
        <f t="shared" si="33"/>
        <v>1</v>
      </c>
      <c r="F768" s="22" t="str">
        <f>IF(ISERROR(VLOOKUP($A768,#REF!,3,0)),"x",VLOOKUP($A768,#REF!,3,FALSE))</f>
        <v>x</v>
      </c>
      <c r="G768" s="9">
        <f t="shared" si="34"/>
        <v>1</v>
      </c>
      <c r="H768" s="13">
        <f t="shared" si="35"/>
        <v>10.5</v>
      </c>
    </row>
    <row r="769" spans="1:8" x14ac:dyDescent="0.25">
      <c r="A769" s="2" t="str">
        <f>"ENR-5165F"</f>
        <v>ENR-5165F</v>
      </c>
      <c r="B769" s="2" t="str">
        <f>"ENR Kardanisches Einbau-SET rund, Philips LED 4W 36° 827, GU10, alu-natur"</f>
        <v>ENR Kardanisches Einbau-SET rund, Philips LED 4W 36° 827, GU10, alu-natur</v>
      </c>
      <c r="C769" s="16">
        <v>40</v>
      </c>
      <c r="D769" s="11">
        <v>131</v>
      </c>
      <c r="E769" s="7">
        <f t="shared" si="33"/>
        <v>1</v>
      </c>
      <c r="F769" s="22" t="str">
        <f>IF(ISERROR(VLOOKUP($A769,#REF!,3,0)),"x",VLOOKUP($A769,#REF!,3,FALSE))</f>
        <v>x</v>
      </c>
      <c r="G769" s="9">
        <f t="shared" si="34"/>
        <v>1</v>
      </c>
      <c r="H769" s="13">
        <f t="shared" si="35"/>
        <v>40</v>
      </c>
    </row>
    <row r="770" spans="1:8" x14ac:dyDescent="0.25">
      <c r="A770" s="2" t="str">
        <f>"ENY-6801"</f>
        <v>ENY-6801</v>
      </c>
      <c r="B770" s="2" t="str">
        <f>"ENY NV-Einbaudownlight, QR-CBC-51, max. 50W, GX5,3, weiß"</f>
        <v>ENY NV-Einbaudownlight, QR-CBC-51, max. 50W, GX5,3, weiß</v>
      </c>
      <c r="C770" s="16">
        <v>7.25</v>
      </c>
      <c r="D770" s="11">
        <v>129</v>
      </c>
      <c r="E770" s="7">
        <f t="shared" si="33"/>
        <v>1</v>
      </c>
      <c r="F770" s="22" t="str">
        <f>IF(ISERROR(VLOOKUP($A770,#REF!,3,0)),"x",VLOOKUP($A770,#REF!,3,FALSE))</f>
        <v>x</v>
      </c>
      <c r="G770" s="9">
        <f t="shared" si="34"/>
        <v>1</v>
      </c>
      <c r="H770" s="13">
        <f t="shared" si="35"/>
        <v>7.25</v>
      </c>
    </row>
    <row r="771" spans="1:8" x14ac:dyDescent="0.25">
      <c r="A771" s="2" t="str">
        <f>"ENY-6802"</f>
        <v>ENY-6802</v>
      </c>
      <c r="B771" s="2" t="str">
        <f>"ENY NV-Einbaudownlight, QR-CBC-51, max. 50W, GX5,3, schwarz"</f>
        <v>ENY NV-Einbaudownlight, QR-CBC-51, max. 50W, GX5,3, schwarz</v>
      </c>
      <c r="C771" s="16">
        <v>7.25</v>
      </c>
      <c r="D771" s="11">
        <v>129</v>
      </c>
      <c r="E771" s="7">
        <f t="shared" ref="E771:E834" si="36">G771</f>
        <v>1</v>
      </c>
      <c r="F771" s="22" t="str">
        <f>IF(ISERROR(VLOOKUP($A771,#REF!,3,0)),"x",VLOOKUP($A771,#REF!,3,FALSE))</f>
        <v>x</v>
      </c>
      <c r="G771" s="9">
        <f t="shared" ref="G771:G834" si="37">IF(C771&lt;F771,1,IF(C771&gt;F771,-1,0))</f>
        <v>1</v>
      </c>
      <c r="H771" s="13">
        <f t="shared" si="35"/>
        <v>7.25</v>
      </c>
    </row>
    <row r="772" spans="1:8" x14ac:dyDescent="0.25">
      <c r="A772" s="2" t="str">
        <f>"ENY-6803"</f>
        <v>ENY-6803</v>
      </c>
      <c r="B772" s="2" t="str">
        <f>"ENY NV-Einbaudownlight, QR-CBC-51, max. 50W, GX5,3, chrom glanz"</f>
        <v>ENY NV-Einbaudownlight, QR-CBC-51, max. 50W, GX5,3, chrom glanz</v>
      </c>
      <c r="C772" s="16">
        <v>9.25</v>
      </c>
      <c r="D772" s="11">
        <v>129</v>
      </c>
      <c r="E772" s="7">
        <f t="shared" si="36"/>
        <v>1</v>
      </c>
      <c r="F772" s="22" t="str">
        <f>IF(ISERROR(VLOOKUP($A772,#REF!,3,0)),"x",VLOOKUP($A772,#REF!,3,FALSE))</f>
        <v>x</v>
      </c>
      <c r="G772" s="9">
        <f t="shared" si="37"/>
        <v>1</v>
      </c>
      <c r="H772" s="13">
        <f t="shared" si="35"/>
        <v>9.25</v>
      </c>
    </row>
    <row r="773" spans="1:8" x14ac:dyDescent="0.25">
      <c r="A773" s="2" t="str">
        <f>"ENY-6805"</f>
        <v>ENY-6805</v>
      </c>
      <c r="B773" s="2" t="str">
        <f>"ENY NV-Einbaudownlight, QR-CBC-51, max. 50W, GX5,3, chrom gebürstet"</f>
        <v>ENY NV-Einbaudownlight, QR-CBC-51, max. 50W, GX5,3, chrom gebürstet</v>
      </c>
      <c r="C773" s="16">
        <v>9.25</v>
      </c>
      <c r="D773" s="11">
        <v>129</v>
      </c>
      <c r="E773" s="7">
        <f t="shared" si="36"/>
        <v>1</v>
      </c>
      <c r="F773" s="22" t="str">
        <f>IF(ISERROR(VLOOKUP($A773,#REF!,3,0)),"x",VLOOKUP($A773,#REF!,3,FALSE))</f>
        <v>x</v>
      </c>
      <c r="G773" s="9">
        <f t="shared" si="37"/>
        <v>1</v>
      </c>
      <c r="H773" s="13">
        <f t="shared" ref="H773:H836" si="38">IF(F773="x",C773,F773)</f>
        <v>9.25</v>
      </c>
    </row>
    <row r="774" spans="1:8" x14ac:dyDescent="0.25">
      <c r="A774" s="2" t="str">
        <f>"ENY-6807"</f>
        <v>ENY-6807</v>
      </c>
      <c r="B774" s="2" t="str">
        <f>"ENY NV-Einbaudownlight, QR-CBC-51, max. 50W, GX5,3, alugrau"</f>
        <v>ENY NV-Einbaudownlight, QR-CBC-51, max. 50W, GX5,3, alugrau</v>
      </c>
      <c r="C774" s="16">
        <v>9.75</v>
      </c>
      <c r="D774" s="11">
        <v>129</v>
      </c>
      <c r="E774" s="7">
        <f t="shared" si="36"/>
        <v>1</v>
      </c>
      <c r="F774" s="22" t="str">
        <f>IF(ISERROR(VLOOKUP($A774,#REF!,3,0)),"x",VLOOKUP($A774,#REF!,3,FALSE))</f>
        <v>x</v>
      </c>
      <c r="G774" s="9">
        <f t="shared" si="37"/>
        <v>1</v>
      </c>
      <c r="H774" s="13">
        <f t="shared" si="38"/>
        <v>9.75</v>
      </c>
    </row>
    <row r="775" spans="1:8" x14ac:dyDescent="0.25">
      <c r="A775" s="2" t="str">
        <f>"ENY-6871F"</f>
        <v>ENY-6871F</v>
      </c>
      <c r="B775" s="2" t="str">
        <f>"ENY-SET Einbaudownlight, Philips LED-Einsatz 5,5W 36° 827, weiß"</f>
        <v>ENY-SET Einbaudownlight, Philips LED-Einsatz 5,5W 36° 827, weiß</v>
      </c>
      <c r="C775" s="16">
        <v>28.75</v>
      </c>
      <c r="D775" s="11">
        <v>129</v>
      </c>
      <c r="E775" s="7">
        <f t="shared" si="36"/>
        <v>1</v>
      </c>
      <c r="F775" s="22" t="str">
        <f>IF(ISERROR(VLOOKUP($A775,#REF!,3,0)),"x",VLOOKUP($A775,#REF!,3,FALSE))</f>
        <v>x</v>
      </c>
      <c r="G775" s="9">
        <f t="shared" si="37"/>
        <v>1</v>
      </c>
      <c r="H775" s="13">
        <f t="shared" si="38"/>
        <v>28.75</v>
      </c>
    </row>
    <row r="776" spans="1:8" x14ac:dyDescent="0.25">
      <c r="A776" s="2" t="str">
        <f>"ENY-6873F"</f>
        <v>ENY-6873F</v>
      </c>
      <c r="B776" s="2" t="str">
        <f>"ENY-SET Einbaudownlight, Philips LED-Einsatz 5,5W 36° 827, chrom glanz"</f>
        <v>ENY-SET Einbaudownlight, Philips LED-Einsatz 5,5W 36° 827, chrom glanz</v>
      </c>
      <c r="C776" s="16">
        <v>28.75</v>
      </c>
      <c r="D776" s="11">
        <v>129</v>
      </c>
      <c r="E776" s="7">
        <f t="shared" si="36"/>
        <v>1</v>
      </c>
      <c r="F776" s="22" t="str">
        <f>IF(ISERROR(VLOOKUP($A776,#REF!,3,0)),"x",VLOOKUP($A776,#REF!,3,FALSE))</f>
        <v>x</v>
      </c>
      <c r="G776" s="9">
        <f t="shared" si="37"/>
        <v>1</v>
      </c>
      <c r="H776" s="13">
        <f t="shared" si="38"/>
        <v>28.75</v>
      </c>
    </row>
    <row r="777" spans="1:8" x14ac:dyDescent="0.25">
      <c r="A777" s="2" t="str">
        <f>"ENY-6875F"</f>
        <v>ENY-6875F</v>
      </c>
      <c r="B777" s="2" t="str">
        <f>"ENY-SET Einbaudownlight, Philips LED-Einsatz 5,5W 36° 827, chrom gebürstet"</f>
        <v>ENY-SET Einbaudownlight, Philips LED-Einsatz 5,5W 36° 827, chrom gebürstet</v>
      </c>
      <c r="C777" s="16">
        <v>28.75</v>
      </c>
      <c r="D777" s="11">
        <v>129</v>
      </c>
      <c r="E777" s="7">
        <f t="shared" si="36"/>
        <v>1</v>
      </c>
      <c r="F777" s="22" t="str">
        <f>IF(ISERROR(VLOOKUP($A777,#REF!,3,0)),"x",VLOOKUP($A777,#REF!,3,FALSE))</f>
        <v>x</v>
      </c>
      <c r="G777" s="9">
        <f t="shared" si="37"/>
        <v>1</v>
      </c>
      <c r="H777" s="13">
        <f t="shared" si="38"/>
        <v>28.75</v>
      </c>
    </row>
    <row r="778" spans="1:8" x14ac:dyDescent="0.25">
      <c r="A778" s="2" t="str">
        <f>"ENY-6877F"</f>
        <v>ENY-6877F</v>
      </c>
      <c r="B778" s="2" t="str">
        <f>"ENY-SET Einbaudownlight, Philips LED-Einsatz 5,5W 36° 827, alu matt"</f>
        <v>ENY-SET Einbaudownlight, Philips LED-Einsatz 5,5W 36° 827, alu matt</v>
      </c>
      <c r="C778" s="16">
        <v>31.25</v>
      </c>
      <c r="D778" s="11">
        <v>129</v>
      </c>
      <c r="E778" s="7">
        <f t="shared" si="36"/>
        <v>1</v>
      </c>
      <c r="F778" s="22" t="str">
        <f>IF(ISERROR(VLOOKUP($A778,#REF!,3,0)),"x",VLOOKUP($A778,#REF!,3,FALSE))</f>
        <v>x</v>
      </c>
      <c r="G778" s="9">
        <f t="shared" si="37"/>
        <v>1</v>
      </c>
      <c r="H778" s="13">
        <f t="shared" si="38"/>
        <v>31.25</v>
      </c>
    </row>
    <row r="779" spans="1:8" x14ac:dyDescent="0.25">
      <c r="A779" s="2" t="str">
        <f>"ENZ-5001"</f>
        <v>ENZ-5001</v>
      </c>
      <c r="B779" s="2" t="str">
        <f>"ENZ NV-Downlight, QR-CBC-51, max. 50W, GX5,3, weiß"</f>
        <v>ENZ NV-Downlight, QR-CBC-51, max. 50W, GX5,3, weiß</v>
      </c>
      <c r="C779" s="16">
        <v>5.5</v>
      </c>
      <c r="D779" s="11">
        <v>133</v>
      </c>
      <c r="E779" s="7">
        <f t="shared" si="36"/>
        <v>1</v>
      </c>
      <c r="F779" s="22" t="str">
        <f>IF(ISERROR(VLOOKUP($A779,#REF!,3,0)),"x",VLOOKUP($A779,#REF!,3,FALSE))</f>
        <v>x</v>
      </c>
      <c r="G779" s="9">
        <f t="shared" si="37"/>
        <v>1</v>
      </c>
      <c r="H779" s="13">
        <f t="shared" si="38"/>
        <v>5.5</v>
      </c>
    </row>
    <row r="780" spans="1:8" x14ac:dyDescent="0.25">
      <c r="A780" s="2" t="str">
        <f>"ENZ-5003"</f>
        <v>ENZ-5003</v>
      </c>
      <c r="B780" s="2" t="str">
        <f>"ENZ NV-Downlight, QR-CBC-51, max. 50W, GX5,3, chrom"</f>
        <v>ENZ NV-Downlight, QR-CBC-51, max. 50W, GX5,3, chrom</v>
      </c>
      <c r="C780" s="16">
        <v>6.75</v>
      </c>
      <c r="D780" s="11">
        <v>133</v>
      </c>
      <c r="E780" s="7">
        <f t="shared" si="36"/>
        <v>1</v>
      </c>
      <c r="F780" s="22" t="str">
        <f>IF(ISERROR(VLOOKUP($A780,#REF!,3,0)),"x",VLOOKUP($A780,#REF!,3,FALSE))</f>
        <v>x</v>
      </c>
      <c r="G780" s="9">
        <f t="shared" si="37"/>
        <v>1</v>
      </c>
      <c r="H780" s="13">
        <f t="shared" si="38"/>
        <v>6.75</v>
      </c>
    </row>
    <row r="781" spans="1:8" x14ac:dyDescent="0.25">
      <c r="A781" s="2" t="str">
        <f>"ENZ-5005"</f>
        <v>ENZ-5005</v>
      </c>
      <c r="B781" s="2" t="str">
        <f>"ENZ NV-Downlight, QR-CBC-51, max. 50W, GX5,3, chrom gebürstet"</f>
        <v>ENZ NV-Downlight, QR-CBC-51, max. 50W, GX5,3, chrom gebürstet</v>
      </c>
      <c r="C781" s="16">
        <v>6.75</v>
      </c>
      <c r="D781" s="11">
        <v>133</v>
      </c>
      <c r="E781" s="7">
        <f t="shared" si="36"/>
        <v>1</v>
      </c>
      <c r="F781" s="22" t="str">
        <f>IF(ISERROR(VLOOKUP($A781,#REF!,3,0)),"x",VLOOKUP($A781,#REF!,3,FALSE))</f>
        <v>x</v>
      </c>
      <c r="G781" s="9">
        <f t="shared" si="37"/>
        <v>1</v>
      </c>
      <c r="H781" s="13">
        <f t="shared" si="38"/>
        <v>6.75</v>
      </c>
    </row>
    <row r="782" spans="1:8" x14ac:dyDescent="0.25">
      <c r="A782" s="2" t="str">
        <f>"ENZ-5007"</f>
        <v>ENZ-5007</v>
      </c>
      <c r="B782" s="2" t="str">
        <f>"ENZ NV-Downlight, QR-CBC-51, max. 50W, GX5,3, alumatt"</f>
        <v>ENZ NV-Downlight, QR-CBC-51, max. 50W, GX5,3, alumatt</v>
      </c>
      <c r="C782" s="16">
        <v>7</v>
      </c>
      <c r="D782" s="11">
        <v>133</v>
      </c>
      <c r="E782" s="7">
        <f t="shared" si="36"/>
        <v>1</v>
      </c>
      <c r="F782" s="22" t="str">
        <f>IF(ISERROR(VLOOKUP($A782,#REF!,3,0)),"x",VLOOKUP($A782,#REF!,3,FALSE))</f>
        <v>x</v>
      </c>
      <c r="G782" s="9">
        <f t="shared" si="37"/>
        <v>1</v>
      </c>
      <c r="H782" s="13">
        <f t="shared" si="38"/>
        <v>7</v>
      </c>
    </row>
    <row r="783" spans="1:8" x14ac:dyDescent="0.25">
      <c r="A783" s="2" t="str">
        <f>"ERO1-13WWSCW1"</f>
        <v>ERO1-13WWSCW1</v>
      </c>
      <c r="B783" s="2" t="str">
        <f>"ERO Einbaudownlight, LED 13W, 350mA, CRI80, 3000K-5700K"</f>
        <v>ERO Einbaudownlight, LED 13W, 350mA, CRI80, 3000K-5700K</v>
      </c>
      <c r="C783" s="16">
        <v>66.75</v>
      </c>
      <c r="D783" s="11">
        <v>107</v>
      </c>
      <c r="E783" s="7">
        <f t="shared" si="36"/>
        <v>1</v>
      </c>
      <c r="F783" s="22" t="str">
        <f>IF(ISERROR(VLOOKUP($A783,#REF!,3,0)),"x",VLOOKUP($A783,#REF!,3,FALSE))</f>
        <v>x</v>
      </c>
      <c r="G783" s="9">
        <f t="shared" si="37"/>
        <v>1</v>
      </c>
      <c r="H783" s="13">
        <f t="shared" si="38"/>
        <v>66.75</v>
      </c>
    </row>
    <row r="784" spans="1:8" x14ac:dyDescent="0.25">
      <c r="A784" s="2" t="str">
        <f>"ERO1-15WWSCW1"</f>
        <v>ERO1-15WWSCW1</v>
      </c>
      <c r="B784" s="2" t="str">
        <f>"ERO Einbaudownlight, LED 15W, 430mA, CRI80, 3000K-5700K"</f>
        <v>ERO Einbaudownlight, LED 15W, 430mA, CRI80, 3000K-5700K</v>
      </c>
      <c r="C784" s="16">
        <v>77.5</v>
      </c>
      <c r="D784" s="11">
        <v>107</v>
      </c>
      <c r="E784" s="7">
        <f t="shared" si="36"/>
        <v>1</v>
      </c>
      <c r="F784" s="22" t="str">
        <f>IF(ISERROR(VLOOKUP($A784,#REF!,3,0)),"x",VLOOKUP($A784,#REF!,3,FALSE))</f>
        <v>x</v>
      </c>
      <c r="G784" s="9">
        <f t="shared" si="37"/>
        <v>1</v>
      </c>
      <c r="H784" s="13">
        <f t="shared" si="38"/>
        <v>77.5</v>
      </c>
    </row>
    <row r="785" spans="1:8" x14ac:dyDescent="0.25">
      <c r="A785" s="2" t="str">
        <f>"ERO1-22WWSCW1"</f>
        <v>ERO1-22WWSCW1</v>
      </c>
      <c r="B785" s="2" t="str">
        <f>"ERO Einbaudownlight, LED 22W, 600mA, CRI80, 3000K-5700K"</f>
        <v>ERO Einbaudownlight, LED 22W, 600mA, CRI80, 3000K-5700K</v>
      </c>
      <c r="C785" s="16">
        <v>105</v>
      </c>
      <c r="D785" s="11">
        <v>107</v>
      </c>
      <c r="E785" s="7">
        <f t="shared" si="36"/>
        <v>1</v>
      </c>
      <c r="F785" s="22" t="str">
        <f>IF(ISERROR(VLOOKUP($A785,#REF!,3,0)),"x",VLOOKUP($A785,#REF!,3,FALSE))</f>
        <v>x</v>
      </c>
      <c r="G785" s="9">
        <f t="shared" si="37"/>
        <v>1</v>
      </c>
      <c r="H785" s="13">
        <f t="shared" si="38"/>
        <v>105</v>
      </c>
    </row>
    <row r="786" spans="1:8" x14ac:dyDescent="0.25">
      <c r="A786" s="2" t="str">
        <f>"FLAI-4SW1"</f>
        <v>FLAI-4SW1</v>
      </c>
      <c r="B786" s="2" t="str">
        <f>"FLAI tragbarer Leuchtenkopf, mit spez. Magnetsystem, 4W, 2700K, IP54, weiß"</f>
        <v>FLAI tragbarer Leuchtenkopf, mit spez. Magnetsystem, 4W, 2700K, IP54, weiß</v>
      </c>
      <c r="C786" s="16">
        <v>138.75</v>
      </c>
      <c r="D786" s="1">
        <v>320</v>
      </c>
      <c r="E786" s="7">
        <f t="shared" si="36"/>
        <v>1</v>
      </c>
      <c r="F786" s="22" t="str">
        <f>IF(ISERROR(VLOOKUP($A786,#REF!,3,0)),"x",VLOOKUP($A786,#REF!,3,FALSE))</f>
        <v>x</v>
      </c>
      <c r="G786" s="9">
        <f t="shared" si="37"/>
        <v>1</v>
      </c>
      <c r="H786" s="13">
        <f t="shared" si="38"/>
        <v>138.75</v>
      </c>
    </row>
    <row r="787" spans="1:8" x14ac:dyDescent="0.25">
      <c r="A787" s="2" t="str">
        <f>"FLAI-4SW2"</f>
        <v>FLAI-4SW2</v>
      </c>
      <c r="B787" s="2" t="str">
        <f>"FLAI tragbarer Leuchtenkopf, mit spez. Magnetsystem, 4W, 2700K, IP54, schwarz"</f>
        <v>FLAI tragbarer Leuchtenkopf, mit spez. Magnetsystem, 4W, 2700K, IP54, schwarz</v>
      </c>
      <c r="C787" s="16">
        <v>138.75</v>
      </c>
      <c r="D787" s="1">
        <v>320</v>
      </c>
      <c r="E787" s="7">
        <f t="shared" si="36"/>
        <v>1</v>
      </c>
      <c r="F787" s="22" t="str">
        <f>IF(ISERROR(VLOOKUP($A787,#REF!,3,0)),"x",VLOOKUP($A787,#REF!,3,FALSE))</f>
        <v>x</v>
      </c>
      <c r="G787" s="9">
        <f t="shared" si="37"/>
        <v>1</v>
      </c>
      <c r="H787" s="13">
        <f t="shared" si="38"/>
        <v>138.75</v>
      </c>
    </row>
    <row r="788" spans="1:8" x14ac:dyDescent="0.25">
      <c r="A788" s="2" t="str">
        <f>"FLAI-A"</f>
        <v>FLAI-A</v>
      </c>
      <c r="B788" s="2" t="str">
        <f>"FLAI Abhängung, max. 1500mm lang, schwarz"</f>
        <v>FLAI Abhängung, max. 1500mm lang, schwarz</v>
      </c>
      <c r="C788" s="16">
        <v>57.5</v>
      </c>
      <c r="D788" s="11">
        <v>321</v>
      </c>
      <c r="E788" s="7">
        <f t="shared" si="36"/>
        <v>1</v>
      </c>
      <c r="F788" s="22" t="str">
        <f>IF(ISERROR(VLOOKUP($A788,#REF!,3,0)),"x",VLOOKUP($A788,#REF!,3,FALSE))</f>
        <v>x</v>
      </c>
      <c r="G788" s="9">
        <f t="shared" si="37"/>
        <v>1</v>
      </c>
      <c r="H788" s="13">
        <f t="shared" si="38"/>
        <v>57.5</v>
      </c>
    </row>
    <row r="789" spans="1:8" x14ac:dyDescent="0.25">
      <c r="A789" s="2" t="str">
        <f>"FLAI-HO"</f>
        <v>FLAI-HO</v>
      </c>
      <c r="B789" s="2" t="str">
        <f>"Haken magnetisch zu FLAI "</f>
        <v xml:space="preserve">Haken magnetisch zu FLAI </v>
      </c>
      <c r="C789" s="16">
        <v>15</v>
      </c>
      <c r="D789" s="11">
        <v>321</v>
      </c>
      <c r="E789" s="7">
        <f t="shared" si="36"/>
        <v>1</v>
      </c>
      <c r="F789" s="22" t="str">
        <f>IF(ISERROR(VLOOKUP($A789,#REF!,3,0)),"x",VLOOKUP($A789,#REF!,3,FALSE))</f>
        <v>x</v>
      </c>
      <c r="G789" s="9">
        <f t="shared" si="37"/>
        <v>1</v>
      </c>
      <c r="H789" s="13">
        <f t="shared" si="38"/>
        <v>15</v>
      </c>
    </row>
    <row r="790" spans="1:8" x14ac:dyDescent="0.25">
      <c r="A790" s="2" t="str">
        <f>"FLAI-P"</f>
        <v>FLAI-P</v>
      </c>
      <c r="B790" s="2" t="str">
        <f>"FLAI 9029 Stehleuchtenfuss gebogen ohne Leuchtenkopf, schwarz, 1300mm hoch"</f>
        <v>FLAI 9029 Stehleuchtenfuss gebogen ohne Leuchtenkopf, schwarz, 1300mm hoch</v>
      </c>
      <c r="C790" s="16">
        <v>130.5</v>
      </c>
      <c r="D790" s="11">
        <v>321</v>
      </c>
      <c r="E790" s="7">
        <f t="shared" si="36"/>
        <v>1</v>
      </c>
      <c r="F790" s="22" t="str">
        <f>IF(ISERROR(VLOOKUP($A790,#REF!,3,0)),"x",VLOOKUP($A790,#REF!,3,FALSE))</f>
        <v>x</v>
      </c>
      <c r="G790" s="9">
        <f t="shared" si="37"/>
        <v>1</v>
      </c>
      <c r="H790" s="13">
        <f t="shared" si="38"/>
        <v>130.5</v>
      </c>
    </row>
    <row r="791" spans="1:8" x14ac:dyDescent="0.25">
      <c r="A791" s="2" t="str">
        <f>"FLAI-PM"</f>
        <v>FLAI-PM</v>
      </c>
      <c r="B791" s="2" t="str">
        <f>"FLAI 9035 Stehleuchtenfuss gerade ohne Leuchtenkopf, schwarz, 1600mm hoch"</f>
        <v>FLAI 9035 Stehleuchtenfuss gerade ohne Leuchtenkopf, schwarz, 1600mm hoch</v>
      </c>
      <c r="C791" s="16">
        <v>112.5</v>
      </c>
      <c r="D791" s="11">
        <v>321</v>
      </c>
      <c r="E791" s="7">
        <f t="shared" si="36"/>
        <v>1</v>
      </c>
      <c r="F791" s="22" t="str">
        <f>IF(ISERROR(VLOOKUP($A791,#REF!,3,0)),"x",VLOOKUP($A791,#REF!,3,FALSE))</f>
        <v>x</v>
      </c>
      <c r="G791" s="9">
        <f t="shared" si="37"/>
        <v>1</v>
      </c>
      <c r="H791" s="13">
        <f t="shared" si="38"/>
        <v>112.5</v>
      </c>
    </row>
    <row r="792" spans="1:8" x14ac:dyDescent="0.25">
      <c r="A792" s="2" t="str">
        <f>"FLAI-SF"</f>
        <v>FLAI-SF</v>
      </c>
      <c r="B792" s="2" t="str">
        <f>"FLAI Schreibtischhalterung, schwarz, 360mm hoch"</f>
        <v>FLAI Schreibtischhalterung, schwarz, 360mm hoch</v>
      </c>
      <c r="C792" s="16">
        <v>73.5</v>
      </c>
      <c r="D792" s="11">
        <v>321</v>
      </c>
      <c r="E792" s="7">
        <f t="shared" si="36"/>
        <v>1</v>
      </c>
      <c r="F792" s="22" t="str">
        <f>IF(ISERROR(VLOOKUP($A792,#REF!,3,0)),"x",VLOOKUP($A792,#REF!,3,FALSE))</f>
        <v>x</v>
      </c>
      <c r="G792" s="9">
        <f t="shared" si="37"/>
        <v>1</v>
      </c>
      <c r="H792" s="13">
        <f t="shared" si="38"/>
        <v>73.5</v>
      </c>
    </row>
    <row r="793" spans="1:8" x14ac:dyDescent="0.25">
      <c r="A793" s="2" t="str">
        <f>"FLAI-SH"</f>
        <v>FLAI-SH</v>
      </c>
      <c r="B793" s="2" t="str">
        <f>"FLAI Seilhalterung, schwarz"</f>
        <v>FLAI Seilhalterung, schwarz</v>
      </c>
      <c r="C793" s="16">
        <v>57.5</v>
      </c>
      <c r="D793" s="11">
        <v>321</v>
      </c>
      <c r="E793" s="7">
        <f t="shared" si="36"/>
        <v>1</v>
      </c>
      <c r="F793" s="22" t="str">
        <f>IF(ISERROR(VLOOKUP($A793,#REF!,3,0)),"x",VLOOKUP($A793,#REF!,3,FALSE))</f>
        <v>x</v>
      </c>
      <c r="G793" s="9">
        <f t="shared" si="37"/>
        <v>1</v>
      </c>
      <c r="H793" s="13">
        <f t="shared" si="38"/>
        <v>57.5</v>
      </c>
    </row>
    <row r="794" spans="1:8" x14ac:dyDescent="0.25">
      <c r="A794" s="2" t="str">
        <f>"FLAI-TF"</f>
        <v>FLAI-TF</v>
      </c>
      <c r="B794" s="2" t="str">
        <f>"FLAI Tischfuß, schwarz, 390mm hoch "</f>
        <v xml:space="preserve">FLAI Tischfuß, schwarz, 390mm hoch </v>
      </c>
      <c r="C794" s="16">
        <v>114.5</v>
      </c>
      <c r="D794" s="11">
        <v>321</v>
      </c>
      <c r="E794" s="7">
        <f t="shared" si="36"/>
        <v>1</v>
      </c>
      <c r="F794" s="22" t="str">
        <f>IF(ISERROR(VLOOKUP($A794,#REF!,3,0)),"x",VLOOKUP($A794,#REF!,3,FALSE))</f>
        <v>x</v>
      </c>
      <c r="G794" s="9">
        <f t="shared" si="37"/>
        <v>1</v>
      </c>
      <c r="H794" s="13">
        <f t="shared" si="38"/>
        <v>114.5</v>
      </c>
    </row>
    <row r="795" spans="1:8" x14ac:dyDescent="0.25">
      <c r="A795" s="2" t="str">
        <f>"FLAI-TFM"</f>
        <v>FLAI-TFM</v>
      </c>
      <c r="B795" s="2" t="str">
        <f>"FLAI Tischfuß, schwarz, 300mm hoch mit mittiger Befestigung"</f>
        <v>FLAI Tischfuß, schwarz, 300mm hoch mit mittiger Befestigung</v>
      </c>
      <c r="C795" s="16">
        <v>57.5</v>
      </c>
      <c r="D795" s="11">
        <v>321</v>
      </c>
      <c r="E795" s="7">
        <f t="shared" si="36"/>
        <v>1</v>
      </c>
      <c r="F795" s="22" t="str">
        <f>IF(ISERROR(VLOOKUP($A795,#REF!,3,0)),"x",VLOOKUP($A795,#REF!,3,FALSE))</f>
        <v>x</v>
      </c>
      <c r="G795" s="9">
        <f t="shared" si="37"/>
        <v>1</v>
      </c>
      <c r="H795" s="13">
        <f t="shared" si="38"/>
        <v>57.5</v>
      </c>
    </row>
    <row r="796" spans="1:8" x14ac:dyDescent="0.25">
      <c r="A796" s="2" t="str">
        <f>"FLAI-WH"</f>
        <v>FLAI-WH</v>
      </c>
      <c r="B796" s="2" t="str">
        <f>"FLAI Wandhalter, schwarz, Ausleger: 120mm"</f>
        <v>FLAI Wandhalter, schwarz, Ausleger: 120mm</v>
      </c>
      <c r="C796" s="16">
        <v>45</v>
      </c>
      <c r="D796" s="11">
        <v>321</v>
      </c>
      <c r="E796" s="7">
        <f t="shared" si="36"/>
        <v>1</v>
      </c>
      <c r="F796" s="22" t="str">
        <f>IF(ISERROR(VLOOKUP($A796,#REF!,3,0)),"x",VLOOKUP($A796,#REF!,3,FALSE))</f>
        <v>x</v>
      </c>
      <c r="G796" s="9">
        <f t="shared" si="37"/>
        <v>1</v>
      </c>
      <c r="H796" s="13">
        <f t="shared" si="38"/>
        <v>45</v>
      </c>
    </row>
    <row r="797" spans="1:8" x14ac:dyDescent="0.25">
      <c r="A797" s="2" t="str">
        <f>"FLEXY-1400NW"</f>
        <v>FLEXY-1400NW</v>
      </c>
      <c r="B797" s="2" t="str">
        <f>"FLEXY, LED-FLEX-MODUL, 5m, 19,2W/M, 1400 LED, 4000K"</f>
        <v>FLEXY, LED-FLEX-MODUL, 5m, 19,2W/M, 1400 LED, 4000K</v>
      </c>
      <c r="C797" s="16">
        <v>107.5</v>
      </c>
      <c r="D797" s="11">
        <v>228</v>
      </c>
      <c r="E797" s="7">
        <f t="shared" si="36"/>
        <v>1</v>
      </c>
      <c r="F797" s="22" t="str">
        <f>IF(ISERROR(VLOOKUP($A797,#REF!,3,0)),"x",VLOOKUP($A797,#REF!,3,FALSE))</f>
        <v>x</v>
      </c>
      <c r="G797" s="9">
        <f t="shared" si="37"/>
        <v>1</v>
      </c>
      <c r="H797" s="13">
        <f t="shared" si="38"/>
        <v>107.5</v>
      </c>
    </row>
    <row r="798" spans="1:8" x14ac:dyDescent="0.25">
      <c r="A798" s="2" t="str">
        <f>"FLEXY-1400SW"</f>
        <v>FLEXY-1400SW</v>
      </c>
      <c r="B798" s="2" t="str">
        <f>"FLEXY, LED-FLEX-MODUL, 5m, 19,2W/M, 1400 LED, 2700K"</f>
        <v>FLEXY, LED-FLEX-MODUL, 5m, 19,2W/M, 1400 LED, 2700K</v>
      </c>
      <c r="C798" s="16">
        <v>107.5</v>
      </c>
      <c r="D798" s="11">
        <v>228</v>
      </c>
      <c r="E798" s="7">
        <f t="shared" si="36"/>
        <v>1</v>
      </c>
      <c r="F798" s="22" t="str">
        <f>IF(ISERROR(VLOOKUP($A798,#REF!,3,0)),"x",VLOOKUP($A798,#REF!,3,FALSE))</f>
        <v>x</v>
      </c>
      <c r="G798" s="9">
        <f t="shared" si="37"/>
        <v>1</v>
      </c>
      <c r="H798" s="13">
        <f t="shared" si="38"/>
        <v>107.5</v>
      </c>
    </row>
    <row r="799" spans="1:8" x14ac:dyDescent="0.25">
      <c r="A799" s="2" t="str">
        <f>"FLEXY-1400WW"</f>
        <v>FLEXY-1400WW</v>
      </c>
      <c r="B799" s="2" t="str">
        <f>"FLEXY, LED-FLEX-MODUL, 5m, 19,2W/M, 1400 LED, 3000K"</f>
        <v>FLEXY, LED-FLEX-MODUL, 5m, 19,2W/M, 1400 LED, 3000K</v>
      </c>
      <c r="C799" s="16">
        <v>107.5</v>
      </c>
      <c r="D799" s="11">
        <v>228</v>
      </c>
      <c r="E799" s="7">
        <f t="shared" si="36"/>
        <v>1</v>
      </c>
      <c r="F799" s="22" t="str">
        <f>IF(ISERROR(VLOOKUP($A799,#REF!,3,0)),"x",VLOOKUP($A799,#REF!,3,FALSE))</f>
        <v>x</v>
      </c>
      <c r="G799" s="9">
        <f t="shared" si="37"/>
        <v>1</v>
      </c>
      <c r="H799" s="13">
        <f t="shared" si="38"/>
        <v>107.5</v>
      </c>
    </row>
    <row r="800" spans="1:8" x14ac:dyDescent="0.25">
      <c r="A800" s="2" t="str">
        <f>"FLEXY-350NW"</f>
        <v>FLEXY-350NW</v>
      </c>
      <c r="B800" s="2" t="str">
        <f>"FLEXY LED-FLEX-MODUL, 5m,  4,8W/M, 350 LED, 4000K"</f>
        <v>FLEXY LED-FLEX-MODUL, 5m,  4,8W/M, 350 LED, 4000K</v>
      </c>
      <c r="C800" s="16">
        <v>45</v>
      </c>
      <c r="D800" s="11">
        <v>228</v>
      </c>
      <c r="E800" s="7">
        <f t="shared" si="36"/>
        <v>1</v>
      </c>
      <c r="F800" s="22" t="str">
        <f>IF(ISERROR(VLOOKUP($A800,#REF!,3,0)),"x",VLOOKUP($A800,#REF!,3,FALSE))</f>
        <v>x</v>
      </c>
      <c r="G800" s="9">
        <f t="shared" si="37"/>
        <v>1</v>
      </c>
      <c r="H800" s="13">
        <f t="shared" si="38"/>
        <v>45</v>
      </c>
    </row>
    <row r="801" spans="1:8" x14ac:dyDescent="0.25">
      <c r="A801" s="2" t="str">
        <f>"FLEXY-350SW"</f>
        <v>FLEXY-350SW</v>
      </c>
      <c r="B801" s="2" t="str">
        <f>"FLEXY LED-FLEX-MODUL, 5m,  4,8W/M, 350 LED, 2700K"</f>
        <v>FLEXY LED-FLEX-MODUL, 5m,  4,8W/M, 350 LED, 2700K</v>
      </c>
      <c r="C801" s="16">
        <v>45</v>
      </c>
      <c r="D801" s="11">
        <v>228</v>
      </c>
      <c r="E801" s="7">
        <f t="shared" si="36"/>
        <v>1</v>
      </c>
      <c r="F801" s="22" t="str">
        <f>IF(ISERROR(VLOOKUP($A801,#REF!,3,0)),"x",VLOOKUP($A801,#REF!,3,FALSE))</f>
        <v>x</v>
      </c>
      <c r="G801" s="9">
        <f t="shared" si="37"/>
        <v>1</v>
      </c>
      <c r="H801" s="13">
        <f t="shared" si="38"/>
        <v>45</v>
      </c>
    </row>
    <row r="802" spans="1:8" x14ac:dyDescent="0.25">
      <c r="A802" s="2" t="str">
        <f>"FLEXY-350WW"</f>
        <v>FLEXY-350WW</v>
      </c>
      <c r="B802" s="2" t="str">
        <f>"FLEXY LED-FLEX-MODUL, 5m,  4,8W/M, 350 LED, 3000K"</f>
        <v>FLEXY LED-FLEX-MODUL, 5m,  4,8W/M, 350 LED, 3000K</v>
      </c>
      <c r="C802" s="16">
        <v>45</v>
      </c>
      <c r="D802" s="11">
        <v>228</v>
      </c>
      <c r="E802" s="7">
        <f t="shared" si="36"/>
        <v>1</v>
      </c>
      <c r="F802" s="22" t="str">
        <f>IF(ISERROR(VLOOKUP($A802,#REF!,3,0)),"x",VLOOKUP($A802,#REF!,3,FALSE))</f>
        <v>x</v>
      </c>
      <c r="G802" s="9">
        <f t="shared" si="37"/>
        <v>1</v>
      </c>
      <c r="H802" s="13">
        <f t="shared" si="38"/>
        <v>45</v>
      </c>
    </row>
    <row r="803" spans="1:8" x14ac:dyDescent="0.25">
      <c r="A803" s="2" t="str">
        <f>"FLEXY-700NW"</f>
        <v>FLEXY-700NW</v>
      </c>
      <c r="B803" s="2" t="str">
        <f>"FLEXY, LED-FLEX-MODUL, 5m, 9,6W/M, 700 LED, 4000K "</f>
        <v xml:space="preserve">FLEXY, LED-FLEX-MODUL, 5m, 9,6W/M, 700 LED, 4000K </v>
      </c>
      <c r="C803" s="16">
        <v>57.5</v>
      </c>
      <c r="D803" s="11">
        <v>228</v>
      </c>
      <c r="E803" s="7">
        <f t="shared" si="36"/>
        <v>1</v>
      </c>
      <c r="F803" s="22" t="str">
        <f>IF(ISERROR(VLOOKUP($A803,#REF!,3,0)),"x",VLOOKUP($A803,#REF!,3,FALSE))</f>
        <v>x</v>
      </c>
      <c r="G803" s="9">
        <f t="shared" si="37"/>
        <v>1</v>
      </c>
      <c r="H803" s="13">
        <f t="shared" si="38"/>
        <v>57.5</v>
      </c>
    </row>
    <row r="804" spans="1:8" x14ac:dyDescent="0.25">
      <c r="A804" s="2" t="str">
        <f>"FLEXY-700SW"</f>
        <v>FLEXY-700SW</v>
      </c>
      <c r="B804" s="2" t="str">
        <f>"FLEXY, LED-FLEX-MODUL, 5m, 9,6W/M, 700 LED, 2700K "</f>
        <v xml:space="preserve">FLEXY, LED-FLEX-MODUL, 5m, 9,6W/M, 700 LED, 2700K </v>
      </c>
      <c r="C804" s="16">
        <v>57.5</v>
      </c>
      <c r="D804" s="11">
        <v>228</v>
      </c>
      <c r="E804" s="7">
        <f t="shared" si="36"/>
        <v>1</v>
      </c>
      <c r="F804" s="22" t="str">
        <f>IF(ISERROR(VLOOKUP($A804,#REF!,3,0)),"x",VLOOKUP($A804,#REF!,3,FALSE))</f>
        <v>x</v>
      </c>
      <c r="G804" s="9">
        <f t="shared" si="37"/>
        <v>1</v>
      </c>
      <c r="H804" s="13">
        <f t="shared" si="38"/>
        <v>57.5</v>
      </c>
    </row>
    <row r="805" spans="1:8" x14ac:dyDescent="0.25">
      <c r="A805" s="2" t="str">
        <f>"FLEXY-700WW"</f>
        <v>FLEXY-700WW</v>
      </c>
      <c r="B805" s="2" t="str">
        <f>"FLEXY, LED-FLEX-MODUL, 5m, 9,6W/M, 700 LED, 3000K "</f>
        <v xml:space="preserve">FLEXY, LED-FLEX-MODUL, 5m, 9,6W/M, 700 LED, 3000K </v>
      </c>
      <c r="C805" s="16">
        <v>57.5</v>
      </c>
      <c r="D805" s="11">
        <v>228</v>
      </c>
      <c r="E805" s="7">
        <f t="shared" si="36"/>
        <v>1</v>
      </c>
      <c r="F805" s="22" t="str">
        <f>IF(ISERROR(VLOOKUP($A805,#REF!,3,0)),"x",VLOOKUP($A805,#REF!,3,FALSE))</f>
        <v>x</v>
      </c>
      <c r="G805" s="9">
        <f t="shared" si="37"/>
        <v>1</v>
      </c>
      <c r="H805" s="13">
        <f t="shared" si="38"/>
        <v>57.5</v>
      </c>
    </row>
    <row r="806" spans="1:8" x14ac:dyDescent="0.25">
      <c r="A806" s="2" t="str">
        <f>"FLEXY1-300RGB"</f>
        <v>FLEXY1-300RGB</v>
      </c>
      <c r="B806" s="2" t="str">
        <f>"FLEXY, LED-FLEX-MODUL, 5m, 14,4W/M, 300 LED, RGB"</f>
        <v>FLEXY, LED-FLEX-MODUL, 5m, 14,4W/M, 300 LED, RGB</v>
      </c>
      <c r="C806" s="16">
        <v>75</v>
      </c>
      <c r="D806" s="11">
        <v>230</v>
      </c>
      <c r="E806" s="7">
        <f t="shared" si="36"/>
        <v>1</v>
      </c>
      <c r="F806" s="22" t="str">
        <f>IF(ISERROR(VLOOKUP($A806,#REF!,3,0)),"x",VLOOKUP($A806,#REF!,3,FALSE))</f>
        <v>x</v>
      </c>
      <c r="G806" s="9">
        <f t="shared" si="37"/>
        <v>1</v>
      </c>
      <c r="H806" s="13">
        <f t="shared" si="38"/>
        <v>75</v>
      </c>
    </row>
    <row r="807" spans="1:8" x14ac:dyDescent="0.25">
      <c r="A807" s="2" t="str">
        <f>"FLEXY1-300RGBW"</f>
        <v>FLEXY1-300RGBW</v>
      </c>
      <c r="B807" s="2" t="str">
        <f>"FLEXY, LED-FLEX-MODUL, 5m, 96W, 14,4W/M, 300 LED´s, RGBW 3000K"</f>
        <v>FLEXY, LED-FLEX-MODUL, 5m, 96W, 14,4W/M, 300 LED´s, RGBW 3000K</v>
      </c>
      <c r="C807" s="16">
        <v>115</v>
      </c>
      <c r="D807" s="11">
        <v>230</v>
      </c>
      <c r="E807" s="7">
        <f t="shared" si="36"/>
        <v>1</v>
      </c>
      <c r="F807" s="22" t="str">
        <f>IF(ISERROR(VLOOKUP($A807,#REF!,3,0)),"x",VLOOKUP($A807,#REF!,3,FALSE))</f>
        <v>x</v>
      </c>
      <c r="G807" s="9">
        <f t="shared" si="37"/>
        <v>1</v>
      </c>
      <c r="H807" s="13">
        <f t="shared" si="38"/>
        <v>115</v>
      </c>
    </row>
    <row r="808" spans="1:8" x14ac:dyDescent="0.25">
      <c r="A808" s="2" t="str">
        <f>"FLEXY1-350NW"</f>
        <v>FLEXY1-350NW</v>
      </c>
      <c r="B808" s="2" t="str">
        <f>"FLEXY, LED-FLEX-MODUL, 5m, 14,4W/M, 350 LED, 4000K"</f>
        <v>FLEXY, LED-FLEX-MODUL, 5m, 14,4W/M, 350 LED, 4000K</v>
      </c>
      <c r="C808" s="16">
        <v>47.5</v>
      </c>
      <c r="D808" s="11">
        <v>228</v>
      </c>
      <c r="E808" s="7">
        <f t="shared" si="36"/>
        <v>1</v>
      </c>
      <c r="F808" s="22" t="str">
        <f>IF(ISERROR(VLOOKUP($A808,#REF!,3,0)),"x",VLOOKUP($A808,#REF!,3,FALSE))</f>
        <v>x</v>
      </c>
      <c r="G808" s="9">
        <f t="shared" si="37"/>
        <v>1</v>
      </c>
      <c r="H808" s="13">
        <f t="shared" si="38"/>
        <v>47.5</v>
      </c>
    </row>
    <row r="809" spans="1:8" x14ac:dyDescent="0.25">
      <c r="A809" s="2" t="str">
        <f>"FLEXY1-350SW"</f>
        <v>FLEXY1-350SW</v>
      </c>
      <c r="B809" s="2" t="str">
        <f>"FLEXY, LED-FLEX-MODUL, 5m, 14,4W/M, 350 LED, 2700K "</f>
        <v xml:space="preserve">FLEXY, LED-FLEX-MODUL, 5m, 14,4W/M, 350 LED, 2700K </v>
      </c>
      <c r="C809" s="16">
        <v>47.5</v>
      </c>
      <c r="D809" s="11">
        <v>228</v>
      </c>
      <c r="E809" s="7">
        <f t="shared" si="36"/>
        <v>1</v>
      </c>
      <c r="F809" s="22" t="str">
        <f>IF(ISERROR(VLOOKUP($A809,#REF!,3,0)),"x",VLOOKUP($A809,#REF!,3,FALSE))</f>
        <v>x</v>
      </c>
      <c r="G809" s="9">
        <f t="shared" si="37"/>
        <v>1</v>
      </c>
      <c r="H809" s="13">
        <f t="shared" si="38"/>
        <v>47.5</v>
      </c>
    </row>
    <row r="810" spans="1:8" x14ac:dyDescent="0.25">
      <c r="A810" s="2" t="str">
        <f>"FLEXY1-350WW"</f>
        <v>FLEXY1-350WW</v>
      </c>
      <c r="B810" s="2" t="str">
        <f>"FLEXY, LED-FLEX-MODUL, 5m, 14,4W/M, 350 LED, 3000K "</f>
        <v xml:space="preserve">FLEXY, LED-FLEX-MODUL, 5m, 14,4W/M, 350 LED, 3000K </v>
      </c>
      <c r="C810" s="16">
        <v>47.5</v>
      </c>
      <c r="D810" s="11">
        <v>228</v>
      </c>
      <c r="E810" s="7">
        <f t="shared" si="36"/>
        <v>1</v>
      </c>
      <c r="F810" s="22" t="str">
        <f>IF(ISERROR(VLOOKUP($A810,#REF!,3,0)),"x",VLOOKUP($A810,#REF!,3,FALSE))</f>
        <v>x</v>
      </c>
      <c r="G810" s="9">
        <f t="shared" si="37"/>
        <v>1</v>
      </c>
      <c r="H810" s="13">
        <f t="shared" si="38"/>
        <v>47.5</v>
      </c>
    </row>
    <row r="811" spans="1:8" x14ac:dyDescent="0.25">
      <c r="A811" s="2" t="str">
        <f>"FLEXY2-800NW"</f>
        <v>FLEXY2-800NW</v>
      </c>
      <c r="B811" s="2" t="str">
        <f>"FLEXY, LED-FLEX-MODUL, 5m, 19,2W/M, 800 LED, 4000K "</f>
        <v xml:space="preserve">FLEXY, LED-FLEX-MODUL, 5m, 19,2W/M, 800 LED, 4000K </v>
      </c>
      <c r="C811" s="16">
        <v>72.5</v>
      </c>
      <c r="D811" s="11">
        <v>228</v>
      </c>
      <c r="E811" s="7">
        <f t="shared" si="36"/>
        <v>1</v>
      </c>
      <c r="F811" s="22" t="str">
        <f>IF(ISERROR(VLOOKUP($A811,#REF!,3,0)),"x",VLOOKUP($A811,#REF!,3,FALSE))</f>
        <v>x</v>
      </c>
      <c r="G811" s="9">
        <f t="shared" si="37"/>
        <v>1</v>
      </c>
      <c r="H811" s="13">
        <f t="shared" si="38"/>
        <v>72.5</v>
      </c>
    </row>
    <row r="812" spans="1:8" x14ac:dyDescent="0.25">
      <c r="A812" s="2" t="str">
        <f>"FLEXY2-800SW"</f>
        <v>FLEXY2-800SW</v>
      </c>
      <c r="B812" s="2" t="str">
        <f>"FLEXY, LED-FLEX-MODUL, 5m, 19,2W/M, 800 LED, 2700K "</f>
        <v xml:space="preserve">FLEXY, LED-FLEX-MODUL, 5m, 19,2W/M, 800 LED, 2700K </v>
      </c>
      <c r="C812" s="16">
        <v>72.5</v>
      </c>
      <c r="D812" s="11">
        <v>228</v>
      </c>
      <c r="E812" s="7">
        <f t="shared" si="36"/>
        <v>1</v>
      </c>
      <c r="F812" s="22" t="str">
        <f>IF(ISERROR(VLOOKUP($A812,#REF!,3,0)),"x",VLOOKUP($A812,#REF!,3,FALSE))</f>
        <v>x</v>
      </c>
      <c r="G812" s="9">
        <f t="shared" si="37"/>
        <v>1</v>
      </c>
      <c r="H812" s="13">
        <f t="shared" si="38"/>
        <v>72.5</v>
      </c>
    </row>
    <row r="813" spans="1:8" x14ac:dyDescent="0.25">
      <c r="A813" s="2" t="str">
        <f>"FLEXY2-800WW"</f>
        <v>FLEXY2-800WW</v>
      </c>
      <c r="B813" s="2" t="str">
        <f>"FLEXY, LED-FLEX-MODUL, 5m, 19,2W/M, 800 LED, 3000K "</f>
        <v xml:space="preserve">FLEXY, LED-FLEX-MODUL, 5m, 19,2W/M, 800 LED, 3000K </v>
      </c>
      <c r="C813" s="16">
        <v>72.5</v>
      </c>
      <c r="D813" s="11">
        <v>228</v>
      </c>
      <c r="E813" s="7">
        <f t="shared" si="36"/>
        <v>1</v>
      </c>
      <c r="F813" s="22" t="str">
        <f>IF(ISERROR(VLOOKUP($A813,#REF!,3,0)),"x",VLOOKUP($A813,#REF!,3,FALSE))</f>
        <v>x</v>
      </c>
      <c r="G813" s="9">
        <f t="shared" si="37"/>
        <v>1</v>
      </c>
      <c r="H813" s="13">
        <f t="shared" si="38"/>
        <v>72.5</v>
      </c>
    </row>
    <row r="814" spans="1:8" x14ac:dyDescent="0.25">
      <c r="A814" s="2" t="str">
        <f>"FLEXY6-1200SSWSCW"</f>
        <v>FLEXY6-1200SSWSCW</v>
      </c>
      <c r="B814" s="2" t="str">
        <f>"FLEXY, LED-FLEX-MODUL, 5m, 72W, 14,4W/M, 1200 LED´s, 2500-6500K"</f>
        <v>FLEXY, LED-FLEX-MODUL, 5m, 72W, 14,4W/M, 1200 LED´s, 2500-6500K</v>
      </c>
      <c r="C814" s="16">
        <v>90</v>
      </c>
      <c r="D814" s="11">
        <v>231</v>
      </c>
      <c r="E814" s="7">
        <f t="shared" si="36"/>
        <v>1</v>
      </c>
      <c r="F814" s="22" t="str">
        <f>IF(ISERROR(VLOOKUP($A814,#REF!,3,0)),"x",VLOOKUP($A814,#REF!,3,FALSE))</f>
        <v>x</v>
      </c>
      <c r="G814" s="9">
        <f t="shared" si="37"/>
        <v>1</v>
      </c>
      <c r="H814" s="13">
        <f t="shared" si="38"/>
        <v>90</v>
      </c>
    </row>
    <row r="815" spans="1:8" x14ac:dyDescent="0.25">
      <c r="A815" s="2" t="str">
        <f>"FLEXY8-2000NWN"</f>
        <v>FLEXY8-2000NWN</v>
      </c>
      <c r="B815" s="2" t="str">
        <f>"FLEXY, LED-FLEX-MODUL, 5m, 14,4W/M, 2000 LED, 4000K "</f>
        <v xml:space="preserve">FLEXY, LED-FLEX-MODUL, 5m, 14,4W/M, 2000 LED, 4000K </v>
      </c>
      <c r="C815" s="16">
        <v>115</v>
      </c>
      <c r="D815" s="11">
        <v>228</v>
      </c>
      <c r="E815" s="7">
        <f t="shared" si="36"/>
        <v>1</v>
      </c>
      <c r="F815" s="22" t="str">
        <f>IF(ISERROR(VLOOKUP($A815,#REF!,3,0)),"x",VLOOKUP($A815,#REF!,3,FALSE))</f>
        <v>x</v>
      </c>
      <c r="G815" s="9">
        <f t="shared" si="37"/>
        <v>1</v>
      </c>
      <c r="H815" s="13">
        <f t="shared" si="38"/>
        <v>115</v>
      </c>
    </row>
    <row r="816" spans="1:8" x14ac:dyDescent="0.25">
      <c r="A816" s="2" t="str">
        <f>"FLEXY8-2000SWN"</f>
        <v>FLEXY8-2000SWN</v>
      </c>
      <c r="B816" s="2" t="str">
        <f>"FLEXY, LED-FLEX-MODUL, 5m, 72W, 9,6W/M, 2000 LED's, 2700K "</f>
        <v xml:space="preserve">FLEXY, LED-FLEX-MODUL, 5m, 72W, 9,6W/M, 2000 LED's, 2700K </v>
      </c>
      <c r="C816" s="16">
        <v>115</v>
      </c>
      <c r="D816" s="11">
        <v>228</v>
      </c>
      <c r="E816" s="7">
        <f t="shared" si="36"/>
        <v>1</v>
      </c>
      <c r="F816" s="22" t="str">
        <f>IF(ISERROR(VLOOKUP($A816,#REF!,3,0)),"x",VLOOKUP($A816,#REF!,3,FALSE))</f>
        <v>x</v>
      </c>
      <c r="G816" s="9">
        <f t="shared" si="37"/>
        <v>1</v>
      </c>
      <c r="H816" s="13">
        <f t="shared" si="38"/>
        <v>115</v>
      </c>
    </row>
    <row r="817" spans="1:8" x14ac:dyDescent="0.25">
      <c r="A817" s="2" t="str">
        <f>"FLEXY8-2000WWN"</f>
        <v>FLEXY8-2000WWN</v>
      </c>
      <c r="B817" s="2" t="str">
        <f>"FLEXY, LED-FLEX-MODUL, 5m, 14,4W/M, 2000 LED, 3000K "</f>
        <v xml:space="preserve">FLEXY, LED-FLEX-MODUL, 5m, 14,4W/M, 2000 LED, 3000K </v>
      </c>
      <c r="C817" s="16">
        <v>115</v>
      </c>
      <c r="D817" s="11">
        <v>228</v>
      </c>
      <c r="E817" s="7">
        <f t="shared" si="36"/>
        <v>1</v>
      </c>
      <c r="F817" s="22" t="str">
        <f>IF(ISERROR(VLOOKUP($A817,#REF!,3,0)),"x",VLOOKUP($A817,#REF!,3,FALSE))</f>
        <v>x</v>
      </c>
      <c r="G817" s="9">
        <f t="shared" si="37"/>
        <v>1</v>
      </c>
      <c r="H817" s="13">
        <f t="shared" si="38"/>
        <v>115</v>
      </c>
    </row>
    <row r="818" spans="1:8" x14ac:dyDescent="0.25">
      <c r="A818" s="2" t="str">
        <f>"FLEXYC-320NW"</f>
        <v>FLEXYC-320NW</v>
      </c>
      <c r="B818" s="2" t="str">
        <f>"FLEXY CSP LED-FLEX-MODUL, 5m, 10W/M, 320 LED/M, 4000K"</f>
        <v>FLEXY CSP LED-FLEX-MODUL, 5m, 10W/M, 320 LED/M, 4000K</v>
      </c>
      <c r="C818" s="16">
        <v>82.5</v>
      </c>
      <c r="D818" s="11">
        <v>227</v>
      </c>
      <c r="E818" s="7">
        <f t="shared" si="36"/>
        <v>1</v>
      </c>
      <c r="F818" s="22" t="str">
        <f>IF(ISERROR(VLOOKUP($A818,#REF!,3,0)),"x",VLOOKUP($A818,#REF!,3,FALSE))</f>
        <v>x</v>
      </c>
      <c r="G818" s="9">
        <f t="shared" si="37"/>
        <v>1</v>
      </c>
      <c r="H818" s="13">
        <f t="shared" si="38"/>
        <v>82.5</v>
      </c>
    </row>
    <row r="819" spans="1:8" x14ac:dyDescent="0.25">
      <c r="A819" s="2" t="str">
        <f>"FLEXYC-320SW"</f>
        <v>FLEXYC-320SW</v>
      </c>
      <c r="B819" s="2" t="str">
        <f>"FLEXY CSP LED-FLEX-MODUL, 5m, 10W/M, 320 LED/M, 2700K"</f>
        <v>FLEXY CSP LED-FLEX-MODUL, 5m, 10W/M, 320 LED/M, 2700K</v>
      </c>
      <c r="C819" s="16">
        <v>82.5</v>
      </c>
      <c r="D819" s="11">
        <v>227</v>
      </c>
      <c r="E819" s="7">
        <f t="shared" si="36"/>
        <v>1</v>
      </c>
      <c r="F819" s="22" t="str">
        <f>IF(ISERROR(VLOOKUP($A819,#REF!,3,0)),"x",VLOOKUP($A819,#REF!,3,FALSE))</f>
        <v>x</v>
      </c>
      <c r="G819" s="9">
        <f t="shared" si="37"/>
        <v>1</v>
      </c>
      <c r="H819" s="13">
        <f t="shared" si="38"/>
        <v>82.5</v>
      </c>
    </row>
    <row r="820" spans="1:8" x14ac:dyDescent="0.25">
      <c r="A820" s="2" t="str">
        <f>"FLEXYC-320WW"</f>
        <v>FLEXYC-320WW</v>
      </c>
      <c r="B820" s="2" t="str">
        <f>"FLEXY CSP LED-FLEX-MODUL, 5m, 10W/M, 320 LED/M, 3000K"</f>
        <v>FLEXY CSP LED-FLEX-MODUL, 5m, 10W/M, 320 LED/M, 3000K</v>
      </c>
      <c r="C820" s="16">
        <v>82.5</v>
      </c>
      <c r="D820" s="11">
        <v>227</v>
      </c>
      <c r="E820" s="7">
        <f t="shared" si="36"/>
        <v>1</v>
      </c>
      <c r="F820" s="22" t="str">
        <f>IF(ISERROR(VLOOKUP($A820,#REF!,3,0)),"x",VLOOKUP($A820,#REF!,3,FALSE))</f>
        <v>x</v>
      </c>
      <c r="G820" s="9">
        <f t="shared" si="37"/>
        <v>1</v>
      </c>
      <c r="H820" s="13">
        <f t="shared" si="38"/>
        <v>82.5</v>
      </c>
    </row>
    <row r="821" spans="1:8" x14ac:dyDescent="0.25">
      <c r="A821" s="2" t="str">
        <f>"FLEXYCIP-320NW"</f>
        <v>FLEXYCIP-320NW</v>
      </c>
      <c r="B821" s="2" t="str">
        <f>"FLEXY CSP LED-FLEX-MODUL, 5m, 10W/M, 320 LED/M, 4000K"</f>
        <v>FLEXY CSP LED-FLEX-MODUL, 5m, 10W/M, 320 LED/M, 4000K</v>
      </c>
      <c r="C821" s="16">
        <v>122.5</v>
      </c>
      <c r="D821" s="11">
        <v>227</v>
      </c>
      <c r="E821" s="7">
        <f t="shared" si="36"/>
        <v>1</v>
      </c>
      <c r="F821" s="22" t="str">
        <f>IF(ISERROR(VLOOKUP($A821,#REF!,3,0)),"x",VLOOKUP($A821,#REF!,3,FALSE))</f>
        <v>x</v>
      </c>
      <c r="G821" s="9">
        <f t="shared" si="37"/>
        <v>1</v>
      </c>
      <c r="H821" s="13">
        <f t="shared" si="38"/>
        <v>122.5</v>
      </c>
    </row>
    <row r="822" spans="1:8" x14ac:dyDescent="0.25">
      <c r="A822" s="2" t="str">
        <f>"FLEXYCIP-320SW"</f>
        <v>FLEXYCIP-320SW</v>
      </c>
      <c r="B822" s="2" t="str">
        <f>"FLEXY CSP LED-FLEX-MODUL, 5m, 10W/M, 320 LED/M, 2700K"</f>
        <v>FLEXY CSP LED-FLEX-MODUL, 5m, 10W/M, 320 LED/M, 2700K</v>
      </c>
      <c r="C822" s="16">
        <v>122.5</v>
      </c>
      <c r="D822" s="11">
        <v>227</v>
      </c>
      <c r="E822" s="7">
        <f t="shared" si="36"/>
        <v>1</v>
      </c>
      <c r="F822" s="22" t="str">
        <f>IF(ISERROR(VLOOKUP($A822,#REF!,3,0)),"x",VLOOKUP($A822,#REF!,3,FALSE))</f>
        <v>x</v>
      </c>
      <c r="G822" s="9">
        <f t="shared" si="37"/>
        <v>1</v>
      </c>
      <c r="H822" s="13">
        <f t="shared" si="38"/>
        <v>122.5</v>
      </c>
    </row>
    <row r="823" spans="1:8" x14ac:dyDescent="0.25">
      <c r="A823" s="2" t="str">
        <f>"FLEXYCIP-320WW"</f>
        <v>FLEXYCIP-320WW</v>
      </c>
      <c r="B823" s="2" t="str">
        <f>"FLEXY CSP LED-FLEX-MODUL, 5m, 10W/M, 320 LED/M, 3000K"</f>
        <v>FLEXY CSP LED-FLEX-MODUL, 5m, 10W/M, 320 LED/M, 3000K</v>
      </c>
      <c r="C823" s="16">
        <v>122.5</v>
      </c>
      <c r="D823" s="11">
        <v>227</v>
      </c>
      <c r="E823" s="7">
        <f t="shared" si="36"/>
        <v>1</v>
      </c>
      <c r="F823" s="22" t="str">
        <f>IF(ISERROR(VLOOKUP($A823,#REF!,3,0)),"x",VLOOKUP($A823,#REF!,3,FALSE))</f>
        <v>x</v>
      </c>
      <c r="G823" s="9">
        <f t="shared" si="37"/>
        <v>1</v>
      </c>
      <c r="H823" s="13">
        <f t="shared" si="38"/>
        <v>122.5</v>
      </c>
    </row>
    <row r="824" spans="1:8" x14ac:dyDescent="0.25">
      <c r="A824" s="2" t="str">
        <f>"FLEXYIP-400NW"</f>
        <v>FLEXYIP-400NW</v>
      </c>
      <c r="B824" s="2" t="str">
        <f>"FLEXY IP67, LED-FLEX-MODUL, 5m, 14,4W/M, 400 LED,  4000K"</f>
        <v>FLEXY IP67, LED-FLEX-MODUL, 5m, 14,4W/M, 400 LED,  4000K</v>
      </c>
      <c r="C824" s="16">
        <v>95</v>
      </c>
      <c r="D824" s="11">
        <v>229</v>
      </c>
      <c r="E824" s="7">
        <f t="shared" si="36"/>
        <v>1</v>
      </c>
      <c r="F824" s="22" t="str">
        <f>IF(ISERROR(VLOOKUP($A824,#REF!,3,0)),"x",VLOOKUP($A824,#REF!,3,FALSE))</f>
        <v>x</v>
      </c>
      <c r="G824" s="9">
        <f t="shared" si="37"/>
        <v>1</v>
      </c>
      <c r="H824" s="13">
        <f t="shared" si="38"/>
        <v>95</v>
      </c>
    </row>
    <row r="825" spans="1:8" x14ac:dyDescent="0.25">
      <c r="A825" s="2" t="str">
        <f>"FLEXYIP-400SW"</f>
        <v>FLEXYIP-400SW</v>
      </c>
      <c r="B825" s="2" t="str">
        <f>"FLEXY IP67, LED-FLEX-MODUL, 5m, 14,4W/M, 400 LED,  2700K"</f>
        <v>FLEXY IP67, LED-FLEX-MODUL, 5m, 14,4W/M, 400 LED,  2700K</v>
      </c>
      <c r="C825" s="16">
        <v>95</v>
      </c>
      <c r="D825" s="11">
        <v>229</v>
      </c>
      <c r="E825" s="7">
        <f t="shared" si="36"/>
        <v>1</v>
      </c>
      <c r="F825" s="22" t="str">
        <f>IF(ISERROR(VLOOKUP($A825,#REF!,3,0)),"x",VLOOKUP($A825,#REF!,3,FALSE))</f>
        <v>x</v>
      </c>
      <c r="G825" s="9">
        <f t="shared" si="37"/>
        <v>1</v>
      </c>
      <c r="H825" s="13">
        <f t="shared" si="38"/>
        <v>95</v>
      </c>
    </row>
    <row r="826" spans="1:8" x14ac:dyDescent="0.25">
      <c r="A826" s="2" t="str">
        <f>"FLEXYIP-400WW"</f>
        <v>FLEXYIP-400WW</v>
      </c>
      <c r="B826" s="2" t="str">
        <f>"FLEXY IP67, LED-FLEX-MODUL, 5m, 14,4W/M, 400 LED,  3000K"</f>
        <v>FLEXY IP67, LED-FLEX-MODUL, 5m, 14,4W/M, 400 LED,  3000K</v>
      </c>
      <c r="C826" s="16">
        <v>95</v>
      </c>
      <c r="D826" s="11">
        <v>229</v>
      </c>
      <c r="E826" s="7">
        <f t="shared" si="36"/>
        <v>1</v>
      </c>
      <c r="F826" s="22" t="str">
        <f>IF(ISERROR(VLOOKUP($A826,#REF!,3,0)),"x",VLOOKUP($A826,#REF!,3,FALSE))</f>
        <v>x</v>
      </c>
      <c r="G826" s="9">
        <f t="shared" si="37"/>
        <v>1</v>
      </c>
      <c r="H826" s="13">
        <f t="shared" si="38"/>
        <v>95</v>
      </c>
    </row>
    <row r="827" spans="1:8" x14ac:dyDescent="0.25">
      <c r="A827" s="2" t="str">
        <f>"FLEXYIP-800NW"</f>
        <v>FLEXYIP-800NW</v>
      </c>
      <c r="B827" s="2" t="str">
        <f>"FLEXY IP54, LED-FLEX-MODUL, 5m, 19,2W/M, 800 LED, 4000K"</f>
        <v>FLEXY IP54, LED-FLEX-MODUL, 5m, 19,2W/M, 800 LED, 4000K</v>
      </c>
      <c r="C827" s="16">
        <v>95</v>
      </c>
      <c r="D827" s="11">
        <v>229</v>
      </c>
      <c r="E827" s="7">
        <f t="shared" si="36"/>
        <v>1</v>
      </c>
      <c r="F827" s="22" t="str">
        <f>IF(ISERROR(VLOOKUP($A827,#REF!,3,0)),"x",VLOOKUP($A827,#REF!,3,FALSE))</f>
        <v>x</v>
      </c>
      <c r="G827" s="9">
        <f t="shared" si="37"/>
        <v>1</v>
      </c>
      <c r="H827" s="13">
        <f t="shared" si="38"/>
        <v>95</v>
      </c>
    </row>
    <row r="828" spans="1:8" x14ac:dyDescent="0.25">
      <c r="A828" s="2" t="str">
        <f>"FLEXYIP-800SW"</f>
        <v>FLEXYIP-800SW</v>
      </c>
      <c r="B828" s="2" t="str">
        <f>"FLEXY IP54, LED-FLEX-MODUL, 5m, 19,2W/M, 800 LED, 2700K"</f>
        <v>FLEXY IP54, LED-FLEX-MODUL, 5m, 19,2W/M, 800 LED, 2700K</v>
      </c>
      <c r="C828" s="16">
        <v>95</v>
      </c>
      <c r="D828" s="11">
        <v>229</v>
      </c>
      <c r="E828" s="7">
        <f t="shared" si="36"/>
        <v>1</v>
      </c>
      <c r="F828" s="22" t="str">
        <f>IF(ISERROR(VLOOKUP($A828,#REF!,3,0)),"x",VLOOKUP($A828,#REF!,3,FALSE))</f>
        <v>x</v>
      </c>
      <c r="G828" s="9">
        <f t="shared" si="37"/>
        <v>1</v>
      </c>
      <c r="H828" s="13">
        <f t="shared" si="38"/>
        <v>95</v>
      </c>
    </row>
    <row r="829" spans="1:8" x14ac:dyDescent="0.25">
      <c r="A829" s="2" t="str">
        <f>"FLEXYIP-800WW"</f>
        <v>FLEXYIP-800WW</v>
      </c>
      <c r="B829" s="2" t="str">
        <f>"FLEXY IP54, LED-FLEX-MODUL, 5m, 19,2W/M, 800 LED, 3000K"</f>
        <v>FLEXY IP54, LED-FLEX-MODUL, 5m, 19,2W/M, 800 LED, 3000K</v>
      </c>
      <c r="C829" s="16">
        <v>95</v>
      </c>
      <c r="D829" s="11">
        <v>229</v>
      </c>
      <c r="E829" s="7">
        <f t="shared" si="36"/>
        <v>1</v>
      </c>
      <c r="F829" s="22" t="str">
        <f>IF(ISERROR(VLOOKUP($A829,#REF!,3,0)),"x",VLOOKUP($A829,#REF!,3,FALSE))</f>
        <v>x</v>
      </c>
      <c r="G829" s="9">
        <f t="shared" si="37"/>
        <v>1</v>
      </c>
      <c r="H829" s="13">
        <f t="shared" si="38"/>
        <v>95</v>
      </c>
    </row>
    <row r="830" spans="1:8" x14ac:dyDescent="0.25">
      <c r="A830" s="2" t="str">
        <f>"FLEXYIP1-300RGBW-67"</f>
        <v>FLEXYIP1-300RGBW-67</v>
      </c>
      <c r="B830" s="2" t="str">
        <f>"FLEXY, LED-FLEX-MODUL, 5m, 14,4W/M, 300 LED´s, RGBW 3000K, IP67"</f>
        <v>FLEXY, LED-FLEX-MODUL, 5m, 14,4W/M, 300 LED´s, RGBW 3000K, IP67</v>
      </c>
      <c r="C830" s="16">
        <v>200</v>
      </c>
      <c r="D830" s="11">
        <v>229</v>
      </c>
      <c r="E830" s="7">
        <f t="shared" si="36"/>
        <v>1</v>
      </c>
      <c r="F830" s="22" t="str">
        <f>IF(ISERROR(VLOOKUP($A830,#REF!,3,0)),"x",VLOOKUP($A830,#REF!,3,FALSE))</f>
        <v>x</v>
      </c>
      <c r="G830" s="9">
        <f t="shared" si="37"/>
        <v>1</v>
      </c>
      <c r="H830" s="13">
        <f t="shared" si="38"/>
        <v>200</v>
      </c>
    </row>
    <row r="831" spans="1:8" x14ac:dyDescent="0.25">
      <c r="A831" s="2" t="str">
        <f>"FLEXYIP10-1400SWN"</f>
        <v>FLEXYIP10-1400SWN</v>
      </c>
      <c r="B831" s="2" t="str">
        <f>"FLEXY IP67, LED-FLEX-MODUL, 5m, 7,2W/M, 1400 LED, 2700K"</f>
        <v>FLEXY IP67, LED-FLEX-MODUL, 5m, 7,2W/M, 1400 LED, 2700K</v>
      </c>
      <c r="C831" s="16">
        <v>142.5</v>
      </c>
      <c r="D831" s="11">
        <v>229</v>
      </c>
      <c r="E831" s="7">
        <f t="shared" si="36"/>
        <v>1</v>
      </c>
      <c r="F831" s="22" t="str">
        <f>IF(ISERROR(VLOOKUP($A831,#REF!,3,0)),"x",VLOOKUP($A831,#REF!,3,FALSE))</f>
        <v>x</v>
      </c>
      <c r="G831" s="9">
        <f t="shared" si="37"/>
        <v>1</v>
      </c>
      <c r="H831" s="13">
        <f t="shared" si="38"/>
        <v>142.5</v>
      </c>
    </row>
    <row r="832" spans="1:8" x14ac:dyDescent="0.25">
      <c r="A832" s="2" t="str">
        <f>"FLEXYIP10-1400WWN"</f>
        <v>FLEXYIP10-1400WWN</v>
      </c>
      <c r="B832" s="2" t="str">
        <f>"FLEXY IP67, LED-FLEX-MODUL, 5m, 7,2W/M, 1400 LED, 3000K"</f>
        <v>FLEXY IP67, LED-FLEX-MODUL, 5m, 7,2W/M, 1400 LED, 3000K</v>
      </c>
      <c r="C832" s="16">
        <v>142.5</v>
      </c>
      <c r="D832" s="11">
        <v>229</v>
      </c>
      <c r="E832" s="7">
        <f t="shared" si="36"/>
        <v>1</v>
      </c>
      <c r="F832" s="22" t="str">
        <f>IF(ISERROR(VLOOKUP($A832,#REF!,3,0)),"x",VLOOKUP($A832,#REF!,3,FALSE))</f>
        <v>x</v>
      </c>
      <c r="G832" s="9">
        <f t="shared" si="37"/>
        <v>1</v>
      </c>
      <c r="H832" s="13">
        <f t="shared" si="38"/>
        <v>142.5</v>
      </c>
    </row>
    <row r="833" spans="1:8" x14ac:dyDescent="0.25">
      <c r="A833" s="2" t="str">
        <f>"FLEXYIP9-700NW"</f>
        <v>FLEXYIP9-700NW</v>
      </c>
      <c r="B833" s="2" t="str">
        <f>"FLEXY IP66, LED-FLEX-MODUL, 5m, 48W, 9,6W/M, 700 LED´s, 4000K "</f>
        <v xml:space="preserve">FLEXY IP66, LED-FLEX-MODUL, 5m, 48W, 9,6W/M, 700 LED´s, 4000K </v>
      </c>
      <c r="C833" s="16">
        <v>145</v>
      </c>
      <c r="D833" s="11">
        <v>229</v>
      </c>
      <c r="E833" s="7">
        <f t="shared" si="36"/>
        <v>1</v>
      </c>
      <c r="F833" s="22" t="str">
        <f>IF(ISERROR(VLOOKUP($A833,#REF!,3,0)),"x",VLOOKUP($A833,#REF!,3,FALSE))</f>
        <v>x</v>
      </c>
      <c r="G833" s="9">
        <f t="shared" si="37"/>
        <v>1</v>
      </c>
      <c r="H833" s="13">
        <f t="shared" si="38"/>
        <v>145</v>
      </c>
    </row>
    <row r="834" spans="1:8" x14ac:dyDescent="0.25">
      <c r="A834" s="2" t="str">
        <f>"FLEXYIP9-700SW"</f>
        <v>FLEXYIP9-700SW</v>
      </c>
      <c r="B834" s="2" t="str">
        <f>"FLEXY IP66, LED-FLEX-MODUL, 5m, 9,6W/M, 700 LED, 2700K "</f>
        <v xml:space="preserve">FLEXY IP66, LED-FLEX-MODUL, 5m, 9,6W/M, 700 LED, 2700K </v>
      </c>
      <c r="C834" s="16">
        <v>145</v>
      </c>
      <c r="D834" s="11">
        <v>229</v>
      </c>
      <c r="E834" s="7">
        <f t="shared" si="36"/>
        <v>1</v>
      </c>
      <c r="F834" s="22" t="str">
        <f>IF(ISERROR(VLOOKUP($A834,#REF!,3,0)),"x",VLOOKUP($A834,#REF!,3,FALSE))</f>
        <v>x</v>
      </c>
      <c r="G834" s="9">
        <f t="shared" si="37"/>
        <v>1</v>
      </c>
      <c r="H834" s="13">
        <f t="shared" si="38"/>
        <v>145</v>
      </c>
    </row>
    <row r="835" spans="1:8" x14ac:dyDescent="0.25">
      <c r="A835" s="2" t="str">
        <f>"FLEXYIP9-700WW"</f>
        <v>FLEXYIP9-700WW</v>
      </c>
      <c r="B835" s="2" t="str">
        <f>"FLEXY IP66, LED-FLEX-MODUL, 5m, 9,6W/M, 700 LED, 3000K "</f>
        <v xml:space="preserve">FLEXY IP66, LED-FLEX-MODUL, 5m, 9,6W/M, 700 LED, 3000K </v>
      </c>
      <c r="C835" s="16">
        <v>145</v>
      </c>
      <c r="D835" s="11">
        <v>229</v>
      </c>
      <c r="E835" s="7">
        <f t="shared" ref="E835:E899" si="39">G835</f>
        <v>1</v>
      </c>
      <c r="F835" s="22" t="str">
        <f>IF(ISERROR(VLOOKUP($A835,#REF!,3,0)),"x",VLOOKUP($A835,#REF!,3,FALSE))</f>
        <v>x</v>
      </c>
      <c r="G835" s="9">
        <f t="shared" ref="G835:G899" si="40">IF(C835&lt;F835,1,IF(C835&gt;F835,-1,0))</f>
        <v>1</v>
      </c>
      <c r="H835" s="13">
        <f t="shared" si="38"/>
        <v>145</v>
      </c>
    </row>
    <row r="836" spans="1:8" x14ac:dyDescent="0.25">
      <c r="A836" s="2" t="str">
        <f>"G-PACD1305"</f>
        <v>G-PACD1305</v>
      </c>
      <c r="B836" s="2" t="str">
        <f>"Metallschutzgitter zu Feuchtraumleuchte L 1305mm"</f>
        <v>Metallschutzgitter zu Feuchtraumleuchte L 1305mm</v>
      </c>
      <c r="C836" s="16">
        <v>62.5</v>
      </c>
      <c r="D836" s="11">
        <v>207</v>
      </c>
      <c r="E836" s="7">
        <f t="shared" si="39"/>
        <v>1</v>
      </c>
      <c r="F836" s="22" t="str">
        <f>IF(ISERROR(VLOOKUP($A836,#REF!,3,0)),"x",VLOOKUP($A836,#REF!,3,FALSE))</f>
        <v>x</v>
      </c>
      <c r="G836" s="9">
        <f t="shared" si="40"/>
        <v>1</v>
      </c>
      <c r="H836" s="13">
        <f t="shared" si="38"/>
        <v>62.5</v>
      </c>
    </row>
    <row r="837" spans="1:8" x14ac:dyDescent="0.25">
      <c r="A837" s="2" t="str">
        <f>"G-PACD1605"</f>
        <v>G-PACD1605</v>
      </c>
      <c r="B837" s="2" t="str">
        <f>"Metallschutzgitter zu Feuchtraumleuchte L 1605mm"</f>
        <v>Metallschutzgitter zu Feuchtraumleuchte L 1605mm</v>
      </c>
      <c r="C837" s="16">
        <v>70</v>
      </c>
      <c r="D837" s="11">
        <v>207</v>
      </c>
      <c r="E837" s="7">
        <f t="shared" si="39"/>
        <v>1</v>
      </c>
      <c r="F837" s="22" t="str">
        <f>IF(ISERROR(VLOOKUP($A837,#REF!,3,0)),"x",VLOOKUP($A837,#REF!,3,FALSE))</f>
        <v>x</v>
      </c>
      <c r="G837" s="9">
        <f t="shared" si="40"/>
        <v>1</v>
      </c>
      <c r="H837" s="13">
        <f t="shared" ref="H837:H901" si="41">IF(F837="x",C837,F837)</f>
        <v>70</v>
      </c>
    </row>
    <row r="838" spans="1:8" x14ac:dyDescent="0.25">
      <c r="A838" s="2" t="str">
        <f>"GAL-100WNW2DS"</f>
        <v>GAL-100WNW2DS</v>
      </c>
      <c r="B838" s="2" t="str">
        <f>"GAL Stehleuchte, LED 100W, 3500K, 230V CRI80, UGR&lt;16, IP20, DIM, schwarz"</f>
        <v>GAL Stehleuchte, LED 100W, 3500K, 230V CRI80, UGR&lt;16, IP20, DIM, schwarz</v>
      </c>
      <c r="C838" s="16">
        <v>1020</v>
      </c>
      <c r="D838" s="11">
        <v>197</v>
      </c>
      <c r="E838" s="7">
        <f t="shared" si="39"/>
        <v>1</v>
      </c>
      <c r="F838" s="22" t="str">
        <f>IF(ISERROR(VLOOKUP($A838,#REF!,3,0)),"x",VLOOKUP($A838,#REF!,3,FALSE))</f>
        <v>x</v>
      </c>
      <c r="G838" s="9">
        <f t="shared" si="40"/>
        <v>1</v>
      </c>
      <c r="H838" s="13">
        <f t="shared" si="41"/>
        <v>1020</v>
      </c>
    </row>
    <row r="839" spans="1:8" x14ac:dyDescent="0.25">
      <c r="A839" s="2" t="str">
        <f>"HA-33NW7O"</f>
        <v>HA-33NW7O</v>
      </c>
      <c r="B839" s="2" t="str">
        <f>"HIGHWAY, Deckenleuchte, LED, 33W, 4000K, alu eloxiert"</f>
        <v>HIGHWAY, Deckenleuchte, LED, 33W, 4000K, alu eloxiert</v>
      </c>
      <c r="C839" s="16">
        <v>320</v>
      </c>
      <c r="D839" s="11">
        <v>73</v>
      </c>
      <c r="E839" s="7">
        <f t="shared" si="39"/>
        <v>1</v>
      </c>
      <c r="F839" s="22" t="str">
        <f>IF(ISERROR(VLOOKUP($A839,#REF!,3,0)),"x",VLOOKUP($A839,#REF!,3,FALSE))</f>
        <v>x</v>
      </c>
      <c r="G839" s="9">
        <f t="shared" si="40"/>
        <v>1</v>
      </c>
      <c r="H839" s="13">
        <f t="shared" si="41"/>
        <v>320</v>
      </c>
    </row>
    <row r="840" spans="1:8" x14ac:dyDescent="0.25">
      <c r="A840" s="2" t="str">
        <f>"HA-33SW7O"</f>
        <v>HA-33SW7O</v>
      </c>
      <c r="B840" s="2" t="str">
        <f>"HIGHWAY, Deckenleuchte, LED, 33W, 2700K, L=1195mm, alu eloxiert"</f>
        <v>HIGHWAY, Deckenleuchte, LED, 33W, 2700K, L=1195mm, alu eloxiert</v>
      </c>
      <c r="C840" s="16">
        <v>320</v>
      </c>
      <c r="D840" s="11">
        <v>73</v>
      </c>
      <c r="E840" s="7">
        <f t="shared" si="39"/>
        <v>1</v>
      </c>
      <c r="F840" s="22" t="str">
        <f>IF(ISERROR(VLOOKUP($A840,#REF!,3,0)),"x",VLOOKUP($A840,#REF!,3,FALSE))</f>
        <v>x</v>
      </c>
      <c r="G840" s="9">
        <f t="shared" si="40"/>
        <v>1</v>
      </c>
      <c r="H840" s="13">
        <f t="shared" si="41"/>
        <v>320</v>
      </c>
    </row>
    <row r="841" spans="1:8" x14ac:dyDescent="0.25">
      <c r="A841" s="2" t="str">
        <f>"HA-33WW7O"</f>
        <v>HA-33WW7O</v>
      </c>
      <c r="B841" s="2" t="str">
        <f>"HIGHWAY, Deckenleuchte, LED, 33W, 3000K, L=1195mm, alu eloxiert"</f>
        <v>HIGHWAY, Deckenleuchte, LED, 33W, 3000K, L=1195mm, alu eloxiert</v>
      </c>
      <c r="C841" s="16">
        <v>320</v>
      </c>
      <c r="D841" s="11">
        <v>73</v>
      </c>
      <c r="E841" s="7">
        <f t="shared" si="39"/>
        <v>1</v>
      </c>
      <c r="F841" s="22" t="str">
        <f>IF(ISERROR(VLOOKUP($A841,#REF!,3,0)),"x",VLOOKUP($A841,#REF!,3,FALSE))</f>
        <v>x</v>
      </c>
      <c r="G841" s="9">
        <f t="shared" si="40"/>
        <v>1</v>
      </c>
      <c r="H841" s="13">
        <f t="shared" si="41"/>
        <v>320</v>
      </c>
    </row>
    <row r="842" spans="1:8" x14ac:dyDescent="0.25">
      <c r="A842" s="2" t="str">
        <f>"HA-45NW7O"</f>
        <v>HA-45NW7O</v>
      </c>
      <c r="B842" s="2" t="str">
        <f>"HIGHWAY, Deckenleuchte, LED, 43W, 4000K, L=1495mm, alu eloxiert"</f>
        <v>HIGHWAY, Deckenleuchte, LED, 43W, 4000K, L=1495mm, alu eloxiert</v>
      </c>
      <c r="C842" s="16">
        <v>370</v>
      </c>
      <c r="D842" s="11">
        <v>73</v>
      </c>
      <c r="E842" s="7">
        <f t="shared" si="39"/>
        <v>1</v>
      </c>
      <c r="F842" s="22" t="str">
        <f>IF(ISERROR(VLOOKUP($A842,#REF!,3,0)),"x",VLOOKUP($A842,#REF!,3,FALSE))</f>
        <v>x</v>
      </c>
      <c r="G842" s="9">
        <f t="shared" si="40"/>
        <v>1</v>
      </c>
      <c r="H842" s="13">
        <f t="shared" si="41"/>
        <v>370</v>
      </c>
    </row>
    <row r="843" spans="1:8" x14ac:dyDescent="0.25">
      <c r="A843" s="2" t="str">
        <f>"HA-45SW7O"</f>
        <v>HA-45SW7O</v>
      </c>
      <c r="B843" s="2" t="str">
        <f>"HIGHWAY, Deckenleuchte, LED, 43W, 2700K, L=1495mm, alu eloxiert"</f>
        <v>HIGHWAY, Deckenleuchte, LED, 43W, 2700K, L=1495mm, alu eloxiert</v>
      </c>
      <c r="C843" s="16">
        <v>370</v>
      </c>
      <c r="D843" s="11">
        <v>73</v>
      </c>
      <c r="E843" s="7">
        <f t="shared" si="39"/>
        <v>1</v>
      </c>
      <c r="F843" s="22" t="str">
        <f>IF(ISERROR(VLOOKUP($A843,#REF!,3,0)),"x",VLOOKUP($A843,#REF!,3,FALSE))</f>
        <v>x</v>
      </c>
      <c r="G843" s="9">
        <f t="shared" si="40"/>
        <v>1</v>
      </c>
      <c r="H843" s="13">
        <f t="shared" si="41"/>
        <v>370</v>
      </c>
    </row>
    <row r="844" spans="1:8" x14ac:dyDescent="0.25">
      <c r="A844" s="2" t="str">
        <f>"HA-45WW7O"</f>
        <v>HA-45WW7O</v>
      </c>
      <c r="B844" s="2" t="str">
        <f>"HIGHWAY, Deckenleuchte, LED, 43W, 3000K, L=1495mm, alu eloxiert"</f>
        <v>HIGHWAY, Deckenleuchte, LED, 43W, 3000K, L=1495mm, alu eloxiert</v>
      </c>
      <c r="C844" s="16">
        <v>370</v>
      </c>
      <c r="D844" s="11">
        <v>73</v>
      </c>
      <c r="E844" s="7">
        <f t="shared" si="39"/>
        <v>1</v>
      </c>
      <c r="F844" s="22" t="str">
        <f>IF(ISERROR(VLOOKUP($A844,#REF!,3,0)),"x",VLOOKUP($A844,#REF!,3,FALSE))</f>
        <v>x</v>
      </c>
      <c r="G844" s="9">
        <f t="shared" si="40"/>
        <v>1</v>
      </c>
      <c r="H844" s="13">
        <f t="shared" si="41"/>
        <v>370</v>
      </c>
    </row>
    <row r="845" spans="1:8" x14ac:dyDescent="0.25">
      <c r="A845" s="2" t="str">
        <f>"HA-END"</f>
        <v>HA-END</v>
      </c>
      <c r="B845" s="2" t="str">
        <f>"HIGHWAY, Endplatten 2-fach, inkl. Schrauben"</f>
        <v>HIGHWAY, Endplatten 2-fach, inkl. Schrauben</v>
      </c>
      <c r="C845" s="16">
        <v>47.5</v>
      </c>
      <c r="D845" s="11">
        <v>68</v>
      </c>
      <c r="E845" s="7">
        <f t="shared" si="39"/>
        <v>1</v>
      </c>
      <c r="F845" s="22" t="str">
        <f>IF(ISERROR(VLOOKUP($A845,#REF!,3,0)),"x",VLOOKUP($A845,#REF!,3,FALSE))</f>
        <v>x</v>
      </c>
      <c r="G845" s="9">
        <f t="shared" si="40"/>
        <v>1</v>
      </c>
      <c r="H845" s="13">
        <f t="shared" si="41"/>
        <v>47.5</v>
      </c>
    </row>
    <row r="846" spans="1:8" x14ac:dyDescent="0.25">
      <c r="A846" s="2" t="str">
        <f>"HA-EV"</f>
        <v>HA-EV</v>
      </c>
      <c r="B846" s="2" t="str">
        <f>"HIGHWAY, Eckverbinder für HA-xx"</f>
        <v>HIGHWAY, Eckverbinder für HA-xx</v>
      </c>
      <c r="C846" s="16">
        <v>49.5</v>
      </c>
      <c r="D846" s="11">
        <v>69</v>
      </c>
      <c r="E846" s="7">
        <f t="shared" si="39"/>
        <v>1</v>
      </c>
      <c r="F846" s="22" t="str">
        <f>IF(ISERROR(VLOOKUP($A846,#REF!,3,0)),"x",VLOOKUP($A846,#REF!,3,FALSE))</f>
        <v>x</v>
      </c>
      <c r="G846" s="9">
        <f t="shared" si="40"/>
        <v>1</v>
      </c>
      <c r="H846" s="13">
        <f t="shared" si="41"/>
        <v>49.5</v>
      </c>
    </row>
    <row r="847" spans="1:8" x14ac:dyDescent="0.25">
      <c r="A847" s="2" t="str">
        <f>"HA-P"</f>
        <v>HA-P</v>
      </c>
      <c r="B847" s="2" t="str">
        <f>"HIGHWAY, Y-Stahlseilabhängung 1500mm, inkl. Zuleitung"</f>
        <v>HIGHWAY, Y-Stahlseilabhängung 1500mm, inkl. Zuleitung</v>
      </c>
      <c r="C847" s="16">
        <v>35.5</v>
      </c>
      <c r="D847" s="11">
        <v>69</v>
      </c>
      <c r="E847" s="7">
        <f t="shared" si="39"/>
        <v>1</v>
      </c>
      <c r="F847" s="22" t="str">
        <f>IF(ISERROR(VLOOKUP($A847,#REF!,3,0)),"x",VLOOKUP($A847,#REF!,3,FALSE))</f>
        <v>x</v>
      </c>
      <c r="G847" s="9">
        <f t="shared" si="40"/>
        <v>1</v>
      </c>
      <c r="H847" s="13">
        <f t="shared" si="41"/>
        <v>35.5</v>
      </c>
    </row>
    <row r="848" spans="1:8" x14ac:dyDescent="0.25">
      <c r="A848" s="2" t="str">
        <f>"HA-S"</f>
        <v>HA-S</v>
      </c>
      <c r="B848" s="2" t="str">
        <f>"HIGHWAY, Y-Stahlseilabhängung einzeln, 1500mm"</f>
        <v>HIGHWAY, Y-Stahlseilabhängung einzeln, 1500mm</v>
      </c>
      <c r="C848" s="16">
        <v>34.5</v>
      </c>
      <c r="D848" s="11">
        <v>69</v>
      </c>
      <c r="E848" s="7">
        <f t="shared" si="39"/>
        <v>1</v>
      </c>
      <c r="F848" s="22" t="str">
        <f>IF(ISERROR(VLOOKUP($A848,#REF!,3,0)),"x",VLOOKUP($A848,#REF!,3,FALSE))</f>
        <v>x</v>
      </c>
      <c r="G848" s="9">
        <f t="shared" si="40"/>
        <v>1</v>
      </c>
      <c r="H848" s="13">
        <f t="shared" si="41"/>
        <v>34.5</v>
      </c>
    </row>
    <row r="849" spans="1:8" x14ac:dyDescent="0.25">
      <c r="A849" s="2" t="str">
        <f>"HA-TV"</f>
        <v>HA-TV</v>
      </c>
      <c r="B849" s="2" t="str">
        <f>"HIGHWAY, T-Verbinder für HA-xx"</f>
        <v>HIGHWAY, T-Verbinder für HA-xx</v>
      </c>
      <c r="C849" s="16">
        <v>129.5</v>
      </c>
      <c r="D849" s="11">
        <v>69</v>
      </c>
      <c r="E849" s="7">
        <f t="shared" si="39"/>
        <v>1</v>
      </c>
      <c r="F849" s="22" t="str">
        <f>IF(ISERROR(VLOOKUP($A849,#REF!,3,0)),"x",VLOOKUP($A849,#REF!,3,FALSE))</f>
        <v>x</v>
      </c>
      <c r="G849" s="9">
        <f t="shared" si="40"/>
        <v>1</v>
      </c>
      <c r="H849" s="13">
        <f t="shared" si="41"/>
        <v>129.5</v>
      </c>
    </row>
    <row r="850" spans="1:8" x14ac:dyDescent="0.25">
      <c r="A850" s="2" t="str">
        <f>"HA-X"</f>
        <v>HA-X</v>
      </c>
      <c r="B850" s="2" t="str">
        <f>"HIGHWAY Aufbau Aluminiumprofil, Länge xxx, eloxiert "</f>
        <v xml:space="preserve">HIGHWAY Aufbau Aluminiumprofil, Länge xxx, eloxiert </v>
      </c>
      <c r="C850" s="16">
        <v>57.5</v>
      </c>
      <c r="D850" s="11">
        <v>68</v>
      </c>
      <c r="E850" s="7">
        <f t="shared" si="39"/>
        <v>1</v>
      </c>
      <c r="F850" s="22" t="str">
        <f>IF(ISERROR(VLOOKUP($A850,#REF!,3,0)),"x",VLOOKUP($A850,#REF!,3,FALSE))</f>
        <v>x</v>
      </c>
      <c r="G850" s="9">
        <f t="shared" si="40"/>
        <v>1</v>
      </c>
      <c r="H850" s="13">
        <f t="shared" si="41"/>
        <v>57.5</v>
      </c>
    </row>
    <row r="851" spans="1:8" x14ac:dyDescent="0.25">
      <c r="A851" s="2" t="str">
        <f>"HA-XV"</f>
        <v>HA-XV</v>
      </c>
      <c r="B851" s="2" t="str">
        <f>"HIGHWAY, X-Verbinder für HA-xx"</f>
        <v>HIGHWAY, X-Verbinder für HA-xx</v>
      </c>
      <c r="C851" s="16">
        <v>166.5</v>
      </c>
      <c r="D851" s="11">
        <v>69</v>
      </c>
      <c r="E851" s="7">
        <f t="shared" si="39"/>
        <v>1</v>
      </c>
      <c r="F851" s="22" t="str">
        <f>IF(ISERROR(VLOOKUP($A851,#REF!,3,0)),"x",VLOOKUP($A851,#REF!,3,FALSE))</f>
        <v>x</v>
      </c>
      <c r="G851" s="9">
        <f t="shared" si="40"/>
        <v>1</v>
      </c>
      <c r="H851" s="13">
        <f t="shared" si="41"/>
        <v>166.5</v>
      </c>
    </row>
    <row r="852" spans="1:8" x14ac:dyDescent="0.25">
      <c r="A852" s="2" t="str">
        <f>"HAE-BA1000"</f>
        <v>HAE-BA1000</v>
      </c>
      <c r="B852" s="2" t="str">
        <f>"HIGHWAY, Aluminium Abdeckung, 1000 mm, eloxiert"</f>
        <v>HIGHWAY, Aluminium Abdeckung, 1000 mm, eloxiert</v>
      </c>
      <c r="C852" s="16">
        <v>11.25</v>
      </c>
      <c r="D852" s="11">
        <v>68</v>
      </c>
      <c r="E852" s="7">
        <f t="shared" si="39"/>
        <v>1</v>
      </c>
      <c r="F852" s="22" t="str">
        <f>IF(ISERROR(VLOOKUP($A852,#REF!,3,0)),"x",VLOOKUP($A852,#REF!,3,FALSE))</f>
        <v>x</v>
      </c>
      <c r="G852" s="9">
        <f t="shared" si="40"/>
        <v>1</v>
      </c>
      <c r="H852" s="13">
        <f t="shared" si="41"/>
        <v>11.25</v>
      </c>
    </row>
    <row r="853" spans="1:8" x14ac:dyDescent="0.25">
      <c r="A853" s="2" t="str">
        <f>"HAE-BA500"</f>
        <v>HAE-BA500</v>
      </c>
      <c r="B853" s="2" t="str">
        <f>"HIGHWAY, Aluminium Abdeckung, 500 mm, eloxiert"</f>
        <v>HIGHWAY, Aluminium Abdeckung, 500 mm, eloxiert</v>
      </c>
      <c r="C853" s="16">
        <v>5.75</v>
      </c>
      <c r="D853" s="11">
        <v>68</v>
      </c>
      <c r="E853" s="7">
        <f t="shared" si="39"/>
        <v>1</v>
      </c>
      <c r="F853" s="22" t="str">
        <f>IF(ISERROR(VLOOKUP($A853,#REF!,3,0)),"x",VLOOKUP($A853,#REF!,3,FALSE))</f>
        <v>x</v>
      </c>
      <c r="G853" s="9">
        <f t="shared" si="40"/>
        <v>1</v>
      </c>
      <c r="H853" s="13">
        <f t="shared" si="41"/>
        <v>5.75</v>
      </c>
    </row>
    <row r="854" spans="1:8" x14ac:dyDescent="0.25">
      <c r="A854" s="2" t="str">
        <f>"HAE-LV"</f>
        <v>HAE-LV</v>
      </c>
      <c r="B854" s="2" t="str">
        <f>"HIGHWAY, Längsverbinder inkl. Schrauben"</f>
        <v>HIGHWAY, Längsverbinder inkl. Schrauben</v>
      </c>
      <c r="C854" s="16">
        <v>14.5</v>
      </c>
      <c r="D854" s="11">
        <v>68</v>
      </c>
      <c r="E854" s="7">
        <f t="shared" si="39"/>
        <v>1</v>
      </c>
      <c r="F854" s="22" t="str">
        <f>IF(ISERROR(VLOOKUP($A854,#REF!,3,0)),"x",VLOOKUP($A854,#REF!,3,FALSE))</f>
        <v>x</v>
      </c>
      <c r="G854" s="9">
        <f t="shared" si="40"/>
        <v>1</v>
      </c>
      <c r="H854" s="13">
        <f t="shared" si="41"/>
        <v>14.5</v>
      </c>
    </row>
    <row r="855" spans="1:8" x14ac:dyDescent="0.25">
      <c r="A855" s="2" t="s">
        <v>26</v>
      </c>
      <c r="B855" s="2" t="s">
        <v>27</v>
      </c>
      <c r="C855" s="16">
        <v>13.25</v>
      </c>
      <c r="D855" s="11">
        <v>68</v>
      </c>
      <c r="E855" s="7">
        <f t="shared" si="39"/>
        <v>1</v>
      </c>
      <c r="F855" s="22" t="str">
        <f>IF(ISERROR(VLOOKUP($A855,#REF!,3,0)),"x",VLOOKUP($A855,#REF!,3,FALSE))</f>
        <v>x</v>
      </c>
      <c r="G855" s="9">
        <f t="shared" ref="G855" si="42">IF(C855&lt;F855,1,IF(C855&gt;F855,-1,0))</f>
        <v>1</v>
      </c>
      <c r="H855" s="13">
        <f t="shared" ref="H855" si="43">IF(F855="x",C855,F855)</f>
        <v>13.25</v>
      </c>
    </row>
    <row r="856" spans="1:8" x14ac:dyDescent="0.25">
      <c r="A856" s="2" t="str">
        <f>"HAE-OP"</f>
        <v>HAE-OP</v>
      </c>
      <c r="B856" s="2" t="str">
        <f>"HIGHWAY, Prismenabdeckung (Kegelentblendung) aus PMMA klar, L:1188mm"</f>
        <v>HIGHWAY, Prismenabdeckung (Kegelentblendung) aus PMMA klar, L:1188mm</v>
      </c>
      <c r="C856" s="16">
        <v>45</v>
      </c>
      <c r="D856" s="11">
        <v>68</v>
      </c>
      <c r="E856" s="7">
        <f t="shared" si="39"/>
        <v>1</v>
      </c>
      <c r="F856" s="22" t="str">
        <f>IF(ISERROR(VLOOKUP($A856,#REF!,3,0)),"x",VLOOKUP($A856,#REF!,3,FALSE))</f>
        <v>x</v>
      </c>
      <c r="G856" s="9">
        <f t="shared" si="40"/>
        <v>1</v>
      </c>
      <c r="H856" s="13">
        <f t="shared" si="41"/>
        <v>45</v>
      </c>
    </row>
    <row r="857" spans="1:8" x14ac:dyDescent="0.25">
      <c r="A857" s="2" t="str">
        <f>"HAEG-18NW1"</f>
        <v>HAEG-18NW1</v>
      </c>
      <c r="B857" s="2" t="str">
        <f>"HIGHWAY Leuchteneinsatz linear, LED, 17W, 4000K, weiß"</f>
        <v>HIGHWAY Leuchteneinsatz linear, LED, 17W, 4000K, weiß</v>
      </c>
      <c r="C857" s="16">
        <v>122.5</v>
      </c>
      <c r="D857" s="11">
        <v>71</v>
      </c>
      <c r="E857" s="7">
        <f t="shared" si="39"/>
        <v>1</v>
      </c>
      <c r="F857" s="22" t="str">
        <f>IF(ISERROR(VLOOKUP($A857,#REF!,3,0)),"x",VLOOKUP($A857,#REF!,3,FALSE))</f>
        <v>x</v>
      </c>
      <c r="G857" s="9">
        <f t="shared" si="40"/>
        <v>1</v>
      </c>
      <c r="H857" s="13">
        <f t="shared" si="41"/>
        <v>122.5</v>
      </c>
    </row>
    <row r="858" spans="1:8" x14ac:dyDescent="0.25">
      <c r="A858" s="2" t="str">
        <f>"HAEG-18SW1"</f>
        <v>HAEG-18SW1</v>
      </c>
      <c r="B858" s="2" t="str">
        <f>"HIGHWAY, Leuchteneinsatz linear, LED, 17W, 2700K, weiß"</f>
        <v>HIGHWAY, Leuchteneinsatz linear, LED, 17W, 2700K, weiß</v>
      </c>
      <c r="C858" s="16">
        <v>122.5</v>
      </c>
      <c r="D858" s="11">
        <v>71</v>
      </c>
      <c r="E858" s="7">
        <f t="shared" si="39"/>
        <v>1</v>
      </c>
      <c r="F858" s="22" t="str">
        <f>IF(ISERROR(VLOOKUP($A858,#REF!,3,0)),"x",VLOOKUP($A858,#REF!,3,FALSE))</f>
        <v>x</v>
      </c>
      <c r="G858" s="9">
        <f t="shared" si="40"/>
        <v>1</v>
      </c>
      <c r="H858" s="13">
        <f t="shared" si="41"/>
        <v>122.5</v>
      </c>
    </row>
    <row r="859" spans="1:8" x14ac:dyDescent="0.25">
      <c r="A859" s="2" t="str">
        <f>"HAEG-18WW1"</f>
        <v>HAEG-18WW1</v>
      </c>
      <c r="B859" s="2" t="str">
        <f>"HIGHWAY Leuchteneinsatz linear, LED, 17W, 3000K, weiss"</f>
        <v>HIGHWAY Leuchteneinsatz linear, LED, 17W, 3000K, weiss</v>
      </c>
      <c r="C859" s="16">
        <v>122.5</v>
      </c>
      <c r="D859" s="11">
        <v>71</v>
      </c>
      <c r="E859" s="7">
        <f t="shared" si="39"/>
        <v>1</v>
      </c>
      <c r="F859" s="22" t="str">
        <f>IF(ISERROR(VLOOKUP($A859,#REF!,3,0)),"x",VLOOKUP($A859,#REF!,3,FALSE))</f>
        <v>x</v>
      </c>
      <c r="G859" s="9">
        <f t="shared" si="40"/>
        <v>1</v>
      </c>
      <c r="H859" s="13">
        <f t="shared" si="41"/>
        <v>122.5</v>
      </c>
    </row>
    <row r="860" spans="1:8" x14ac:dyDescent="0.25">
      <c r="A860" s="2" t="str">
        <f>"HAEG-27NW1"</f>
        <v>HAEG-27NW1</v>
      </c>
      <c r="B860" s="2" t="str">
        <f>"HIGHWAY Leuchteneinsatz linear, LED, 25W, 4000K, weiß"</f>
        <v>HIGHWAY Leuchteneinsatz linear, LED, 25W, 4000K, weiß</v>
      </c>
      <c r="C860" s="16">
        <v>143.5</v>
      </c>
      <c r="D860" s="11">
        <v>71</v>
      </c>
      <c r="E860" s="7">
        <f t="shared" si="39"/>
        <v>1</v>
      </c>
      <c r="F860" s="22" t="str">
        <f>IF(ISERROR(VLOOKUP($A860,#REF!,3,0)),"x",VLOOKUP($A860,#REF!,3,FALSE))</f>
        <v>x</v>
      </c>
      <c r="G860" s="9">
        <f t="shared" si="40"/>
        <v>1</v>
      </c>
      <c r="H860" s="13">
        <f t="shared" si="41"/>
        <v>143.5</v>
      </c>
    </row>
    <row r="861" spans="1:8" x14ac:dyDescent="0.25">
      <c r="A861" s="2" t="str">
        <f>"HAEG-27SW1"</f>
        <v>HAEG-27SW1</v>
      </c>
      <c r="B861" s="2" t="str">
        <f>"HIGHWAY Leuchteneinsatz linear, LED, 25W, 2700K, weiß"</f>
        <v>HIGHWAY Leuchteneinsatz linear, LED, 25W, 2700K, weiß</v>
      </c>
      <c r="C861" s="16">
        <v>143.5</v>
      </c>
      <c r="D861" s="11">
        <v>71</v>
      </c>
      <c r="E861" s="7">
        <f t="shared" si="39"/>
        <v>1</v>
      </c>
      <c r="F861" s="22" t="str">
        <f>IF(ISERROR(VLOOKUP($A861,#REF!,3,0)),"x",VLOOKUP($A861,#REF!,3,FALSE))</f>
        <v>x</v>
      </c>
      <c r="G861" s="9">
        <f t="shared" si="40"/>
        <v>1</v>
      </c>
      <c r="H861" s="13">
        <f t="shared" si="41"/>
        <v>143.5</v>
      </c>
    </row>
    <row r="862" spans="1:8" x14ac:dyDescent="0.25">
      <c r="A862" s="2" t="str">
        <f>"HAEG-27WW1"</f>
        <v>HAEG-27WW1</v>
      </c>
      <c r="B862" s="2" t="str">
        <f>"HIGHWAY Leuchteneinsatz linear, LED, 25W, 3000K, weiß"</f>
        <v>HIGHWAY Leuchteneinsatz linear, LED, 25W, 3000K, weiß</v>
      </c>
      <c r="C862" s="16">
        <v>143.5</v>
      </c>
      <c r="D862" s="11">
        <v>71</v>
      </c>
      <c r="E862" s="7">
        <f t="shared" si="39"/>
        <v>1</v>
      </c>
      <c r="F862" s="22" t="str">
        <f>IF(ISERROR(VLOOKUP($A862,#REF!,3,0)),"x",VLOOKUP($A862,#REF!,3,FALSE))</f>
        <v>x</v>
      </c>
      <c r="G862" s="9">
        <f t="shared" si="40"/>
        <v>1</v>
      </c>
      <c r="H862" s="13">
        <f t="shared" si="41"/>
        <v>143.5</v>
      </c>
    </row>
    <row r="863" spans="1:8" x14ac:dyDescent="0.25">
      <c r="A863" s="2" t="str">
        <f>"HAEG-33NW1"</f>
        <v>HAEG-33NW1</v>
      </c>
      <c r="B863" s="2" t="str">
        <f>"HIGHWAY Leuchteneinsatz linear, LED, 33W, 4000K, weiß"</f>
        <v>HIGHWAY Leuchteneinsatz linear, LED, 33W, 4000K, weiß</v>
      </c>
      <c r="C863" s="16">
        <v>152.5</v>
      </c>
      <c r="D863" s="11">
        <v>71</v>
      </c>
      <c r="E863" s="7">
        <f t="shared" si="39"/>
        <v>1</v>
      </c>
      <c r="F863" s="22" t="str">
        <f>IF(ISERROR(VLOOKUP($A863,#REF!,3,0)),"x",VLOOKUP($A863,#REF!,3,FALSE))</f>
        <v>x</v>
      </c>
      <c r="G863" s="9">
        <f t="shared" si="40"/>
        <v>1</v>
      </c>
      <c r="H863" s="13">
        <f t="shared" si="41"/>
        <v>152.5</v>
      </c>
    </row>
    <row r="864" spans="1:8" x14ac:dyDescent="0.25">
      <c r="A864" s="2" t="str">
        <f>"HAEG-33SW1"</f>
        <v>HAEG-33SW1</v>
      </c>
      <c r="B864" s="2" t="str">
        <f>"HIGHWAY Leuchteneinsatz linear, LED, 33W, 2700K, weiß"</f>
        <v>HIGHWAY Leuchteneinsatz linear, LED, 33W, 2700K, weiß</v>
      </c>
      <c r="C864" s="16">
        <v>152.5</v>
      </c>
      <c r="D864" s="11">
        <v>71</v>
      </c>
      <c r="E864" s="7">
        <f t="shared" si="39"/>
        <v>1</v>
      </c>
      <c r="F864" s="22" t="str">
        <f>IF(ISERROR(VLOOKUP($A864,#REF!,3,0)),"x",VLOOKUP($A864,#REF!,3,FALSE))</f>
        <v>x</v>
      </c>
      <c r="G864" s="9">
        <f t="shared" si="40"/>
        <v>1</v>
      </c>
      <c r="H864" s="13">
        <f t="shared" si="41"/>
        <v>152.5</v>
      </c>
    </row>
    <row r="865" spans="1:8" x14ac:dyDescent="0.25">
      <c r="A865" s="2" t="str">
        <f>"HAEG-33WW1"</f>
        <v>HAEG-33WW1</v>
      </c>
      <c r="B865" s="2" t="str">
        <f>"HIGHWAY Leuchteneinsatz linear, LED, 33W, 3000K, weiß"</f>
        <v>HIGHWAY Leuchteneinsatz linear, LED, 33W, 3000K, weiß</v>
      </c>
      <c r="C865" s="16">
        <v>152.5</v>
      </c>
      <c r="D865" s="11">
        <v>71</v>
      </c>
      <c r="E865" s="7">
        <f t="shared" si="39"/>
        <v>1</v>
      </c>
      <c r="F865" s="22" t="str">
        <f>IF(ISERROR(VLOOKUP($A865,#REF!,3,0)),"x",VLOOKUP($A865,#REF!,3,FALSE))</f>
        <v>x</v>
      </c>
      <c r="G865" s="9">
        <f t="shared" si="40"/>
        <v>1</v>
      </c>
      <c r="H865" s="13">
        <f t="shared" si="41"/>
        <v>152.5</v>
      </c>
    </row>
    <row r="866" spans="1:8" x14ac:dyDescent="0.25">
      <c r="A866" s="2" t="str">
        <f>"HAEG-45NW1"</f>
        <v>HAEG-45NW1</v>
      </c>
      <c r="B866" s="2" t="str">
        <f>"HIGHWAY Leuchteneinsatz linear, LED, 43W, 4000K, weiß"</f>
        <v>HIGHWAY Leuchteneinsatz linear, LED, 43W, 4000K, weiß</v>
      </c>
      <c r="C866" s="16">
        <v>172.5</v>
      </c>
      <c r="D866" s="11">
        <v>71</v>
      </c>
      <c r="E866" s="7">
        <f t="shared" si="39"/>
        <v>1</v>
      </c>
      <c r="F866" s="22" t="str">
        <f>IF(ISERROR(VLOOKUP($A866,#REF!,3,0)),"x",VLOOKUP($A866,#REF!,3,FALSE))</f>
        <v>x</v>
      </c>
      <c r="G866" s="9">
        <f t="shared" si="40"/>
        <v>1</v>
      </c>
      <c r="H866" s="13">
        <f t="shared" si="41"/>
        <v>172.5</v>
      </c>
    </row>
    <row r="867" spans="1:8" x14ac:dyDescent="0.25">
      <c r="A867" s="2" t="str">
        <f>"HAEG-45SW1"</f>
        <v>HAEG-45SW1</v>
      </c>
      <c r="B867" s="2" t="str">
        <f>"HIGHWAY Leuchteneinsatz linear, LED, 43W, 2700K, weiß"</f>
        <v>HIGHWAY Leuchteneinsatz linear, LED, 43W, 2700K, weiß</v>
      </c>
      <c r="C867" s="16">
        <v>172.5</v>
      </c>
      <c r="D867" s="11">
        <v>71</v>
      </c>
      <c r="E867" s="7">
        <f t="shared" si="39"/>
        <v>1</v>
      </c>
      <c r="F867" s="22" t="str">
        <f>IF(ISERROR(VLOOKUP($A867,#REF!,3,0)),"x",VLOOKUP($A867,#REF!,3,FALSE))</f>
        <v>x</v>
      </c>
      <c r="G867" s="9">
        <f t="shared" si="40"/>
        <v>1</v>
      </c>
      <c r="H867" s="13">
        <f t="shared" si="41"/>
        <v>172.5</v>
      </c>
    </row>
    <row r="868" spans="1:8" x14ac:dyDescent="0.25">
      <c r="A868" s="2" t="str">
        <f>"HAEG-45WW1"</f>
        <v>HAEG-45WW1</v>
      </c>
      <c r="B868" s="2" t="str">
        <f>"HIGHWAY Leuchteneinsatz linear, LED, 43W, 3000K, weiß"</f>
        <v>HIGHWAY Leuchteneinsatz linear, LED, 43W, 3000K, weiß</v>
      </c>
      <c r="C868" s="16">
        <v>172.5</v>
      </c>
      <c r="D868" s="11">
        <v>71</v>
      </c>
      <c r="E868" s="7">
        <f t="shared" si="39"/>
        <v>1</v>
      </c>
      <c r="F868" s="22" t="str">
        <f>IF(ISERROR(VLOOKUP($A868,#REF!,3,0)),"x",VLOOKUP($A868,#REF!,3,FALSE))</f>
        <v>x</v>
      </c>
      <c r="G868" s="9">
        <f t="shared" si="40"/>
        <v>1</v>
      </c>
      <c r="H868" s="13">
        <f t="shared" si="41"/>
        <v>172.5</v>
      </c>
    </row>
    <row r="869" spans="1:8" x14ac:dyDescent="0.25">
      <c r="A869" s="2" t="str">
        <f>"HAP-33NW7O"</f>
        <v>HAP-33NW7O</v>
      </c>
      <c r="B869" s="2" t="str">
        <f>"HIGHWAY, Pendelleuchte, LED, 33W, 4000K, alu eloxiert"</f>
        <v>HIGHWAY, Pendelleuchte, LED, 33W, 4000K, alu eloxiert</v>
      </c>
      <c r="C869" s="16">
        <v>375</v>
      </c>
      <c r="D869" s="11">
        <v>73</v>
      </c>
      <c r="E869" s="7">
        <f t="shared" si="39"/>
        <v>1</v>
      </c>
      <c r="F869" s="22" t="str">
        <f>IF(ISERROR(VLOOKUP($A869,#REF!,3,0)),"x",VLOOKUP($A869,#REF!,3,FALSE))</f>
        <v>x</v>
      </c>
      <c r="G869" s="9">
        <f t="shared" si="40"/>
        <v>1</v>
      </c>
      <c r="H869" s="13">
        <f t="shared" si="41"/>
        <v>375</v>
      </c>
    </row>
    <row r="870" spans="1:8" x14ac:dyDescent="0.25">
      <c r="A870" s="2" t="str">
        <f>"HAP-33SW7O"</f>
        <v>HAP-33SW7O</v>
      </c>
      <c r="B870" s="2" t="str">
        <f>"HIGHWAY, Pendelleuchte, LED, 33W, 2700K, alu eloxiert"</f>
        <v>HIGHWAY, Pendelleuchte, LED, 33W, 2700K, alu eloxiert</v>
      </c>
      <c r="C870" s="16">
        <v>375</v>
      </c>
      <c r="D870" s="11">
        <v>73</v>
      </c>
      <c r="E870" s="7">
        <f t="shared" si="39"/>
        <v>1</v>
      </c>
      <c r="F870" s="22" t="str">
        <f>IF(ISERROR(VLOOKUP($A870,#REF!,3,0)),"x",VLOOKUP($A870,#REF!,3,FALSE))</f>
        <v>x</v>
      </c>
      <c r="G870" s="9">
        <f t="shared" si="40"/>
        <v>1</v>
      </c>
      <c r="H870" s="13">
        <f t="shared" si="41"/>
        <v>375</v>
      </c>
    </row>
    <row r="871" spans="1:8" x14ac:dyDescent="0.25">
      <c r="A871" s="2" t="str">
        <f>"HAP-33WW7O"</f>
        <v>HAP-33WW7O</v>
      </c>
      <c r="B871" s="2" t="str">
        <f>"HIGHWAY, Pendelleuchte, LED, 33W, 3000K, alu eloxiert"</f>
        <v>HIGHWAY, Pendelleuchte, LED, 33W, 3000K, alu eloxiert</v>
      </c>
      <c r="C871" s="16">
        <v>375</v>
      </c>
      <c r="D871" s="11">
        <v>73</v>
      </c>
      <c r="E871" s="7">
        <f t="shared" si="39"/>
        <v>1</v>
      </c>
      <c r="F871" s="22" t="str">
        <f>IF(ISERROR(VLOOKUP($A871,#REF!,3,0)),"x",VLOOKUP($A871,#REF!,3,FALSE))</f>
        <v>x</v>
      </c>
      <c r="G871" s="9">
        <f t="shared" si="40"/>
        <v>1</v>
      </c>
      <c r="H871" s="13">
        <f t="shared" si="41"/>
        <v>375</v>
      </c>
    </row>
    <row r="872" spans="1:8" x14ac:dyDescent="0.25">
      <c r="A872" s="2" t="str">
        <f>"HAP-45NW7O"</f>
        <v>HAP-45NW7O</v>
      </c>
      <c r="B872" s="2" t="str">
        <f>"HIGHWAY, Pendelleuchte, LED, 43W, 4000K, alu eloxiert"</f>
        <v>HIGHWAY, Pendelleuchte, LED, 43W, 4000K, alu eloxiert</v>
      </c>
      <c r="C872" s="16">
        <v>412.5</v>
      </c>
      <c r="D872" s="11">
        <v>73</v>
      </c>
      <c r="E872" s="7">
        <f t="shared" si="39"/>
        <v>1</v>
      </c>
      <c r="F872" s="22" t="str">
        <f>IF(ISERROR(VLOOKUP($A872,#REF!,3,0)),"x",VLOOKUP($A872,#REF!,3,FALSE))</f>
        <v>x</v>
      </c>
      <c r="G872" s="9">
        <f t="shared" si="40"/>
        <v>1</v>
      </c>
      <c r="H872" s="13">
        <f t="shared" si="41"/>
        <v>412.5</v>
      </c>
    </row>
    <row r="873" spans="1:8" x14ac:dyDescent="0.25">
      <c r="A873" s="2" t="str">
        <f>"HAP-45SW7O"</f>
        <v>HAP-45SW7O</v>
      </c>
      <c r="B873" s="2" t="str">
        <f>"HIGHWAY, Pendelleuchte, LED, 43W, 2700K, alu eloxiert"</f>
        <v>HIGHWAY, Pendelleuchte, LED, 43W, 2700K, alu eloxiert</v>
      </c>
      <c r="C873" s="16">
        <v>412.5</v>
      </c>
      <c r="D873" s="11">
        <v>73</v>
      </c>
      <c r="E873" s="7">
        <f t="shared" si="39"/>
        <v>1</v>
      </c>
      <c r="F873" s="22" t="str">
        <f>IF(ISERROR(VLOOKUP($A873,#REF!,3,0)),"x",VLOOKUP($A873,#REF!,3,FALSE))</f>
        <v>x</v>
      </c>
      <c r="G873" s="9">
        <f t="shared" si="40"/>
        <v>1</v>
      </c>
      <c r="H873" s="13">
        <f t="shared" si="41"/>
        <v>412.5</v>
      </c>
    </row>
    <row r="874" spans="1:8" x14ac:dyDescent="0.25">
      <c r="A874" s="2" t="str">
        <f>"HAP-45WW7O"</f>
        <v>HAP-45WW7O</v>
      </c>
      <c r="B874" s="2" t="str">
        <f>"HIGHWAY, Pendelleuchte, LED, 43W, 3000K, alu eloxiert"</f>
        <v>HIGHWAY, Pendelleuchte, LED, 43W, 3000K, alu eloxiert</v>
      </c>
      <c r="C874" s="16">
        <v>412.5</v>
      </c>
      <c r="D874" s="11">
        <v>73</v>
      </c>
      <c r="E874" s="7">
        <f t="shared" si="39"/>
        <v>1</v>
      </c>
      <c r="F874" s="22" t="str">
        <f>IF(ISERROR(VLOOKUP($A874,#REF!,3,0)),"x",VLOOKUP($A874,#REF!,3,FALSE))</f>
        <v>x</v>
      </c>
      <c r="G874" s="9">
        <f t="shared" si="40"/>
        <v>1</v>
      </c>
      <c r="H874" s="13">
        <f t="shared" si="41"/>
        <v>412.5</v>
      </c>
    </row>
    <row r="875" spans="1:8" x14ac:dyDescent="0.25">
      <c r="A875" s="2" t="str">
        <f>"HAPI-33NW7O"</f>
        <v>HAPI-33NW7O</v>
      </c>
      <c r="B875" s="2" t="str">
        <f>"HIGHWAY, Pendelleuchte, LED, 43W, direkt/indirekter Lichtaustritt, 4000K"</f>
        <v>HIGHWAY, Pendelleuchte, LED, 43W, direkt/indirekter Lichtaustritt, 4000K</v>
      </c>
      <c r="C875" s="16">
        <v>415</v>
      </c>
      <c r="D875" s="11">
        <v>73</v>
      </c>
      <c r="E875" s="7">
        <f t="shared" si="39"/>
        <v>1</v>
      </c>
      <c r="F875" s="22" t="str">
        <f>IF(ISERROR(VLOOKUP($A875,#REF!,3,0)),"x",VLOOKUP($A875,#REF!,3,FALSE))</f>
        <v>x</v>
      </c>
      <c r="G875" s="9">
        <f t="shared" si="40"/>
        <v>1</v>
      </c>
      <c r="H875" s="13">
        <f t="shared" si="41"/>
        <v>415</v>
      </c>
    </row>
    <row r="876" spans="1:8" x14ac:dyDescent="0.25">
      <c r="A876" s="2" t="str">
        <f>"HAPI-33SW7O"</f>
        <v>HAPI-33SW7O</v>
      </c>
      <c r="B876" s="2" t="str">
        <f>"HIGHWAY, Pendelleuchte, LED, 43W, direkter/indirekt Lichtaustritt, 2700K"</f>
        <v>HIGHWAY, Pendelleuchte, LED, 43W, direkter/indirekt Lichtaustritt, 2700K</v>
      </c>
      <c r="C876" s="16">
        <v>415</v>
      </c>
      <c r="D876" s="11">
        <v>73</v>
      </c>
      <c r="E876" s="7">
        <f t="shared" si="39"/>
        <v>1</v>
      </c>
      <c r="F876" s="22" t="str">
        <f>IF(ISERROR(VLOOKUP($A876,#REF!,3,0)),"x",VLOOKUP($A876,#REF!,3,FALSE))</f>
        <v>x</v>
      </c>
      <c r="G876" s="9">
        <f t="shared" si="40"/>
        <v>1</v>
      </c>
      <c r="H876" s="13">
        <f t="shared" si="41"/>
        <v>415</v>
      </c>
    </row>
    <row r="877" spans="1:8" x14ac:dyDescent="0.25">
      <c r="A877" s="2" t="str">
        <f>"HAPI-33WW7O"</f>
        <v>HAPI-33WW7O</v>
      </c>
      <c r="B877" s="2" t="str">
        <f>"HIGHWAY, Pendelleuchte, LED, 43W direkter/indirekt Lichtaustritt, 3000K"</f>
        <v>HIGHWAY, Pendelleuchte, LED, 43W direkter/indirekt Lichtaustritt, 3000K</v>
      </c>
      <c r="C877" s="16">
        <v>415</v>
      </c>
      <c r="D877" s="11">
        <v>73</v>
      </c>
      <c r="E877" s="7">
        <f t="shared" si="39"/>
        <v>1</v>
      </c>
      <c r="F877" s="22" t="str">
        <f>IF(ISERROR(VLOOKUP($A877,#REF!,3,0)),"x",VLOOKUP($A877,#REF!,3,FALSE))</f>
        <v>x</v>
      </c>
      <c r="G877" s="9">
        <f t="shared" si="40"/>
        <v>1</v>
      </c>
      <c r="H877" s="13">
        <f t="shared" si="41"/>
        <v>415</v>
      </c>
    </row>
    <row r="878" spans="1:8" x14ac:dyDescent="0.25">
      <c r="A878" s="2" t="str">
        <f>"HAPI-45NW7O"</f>
        <v>HAPI-45NW7O</v>
      </c>
      <c r="B878" s="2" t="str">
        <f>"HIGHWAY, Pendelleuchte, LED, 55W direkt/indirekter Lichtaustritt, 4000K, alu elo"</f>
        <v>HIGHWAY, Pendelleuchte, LED, 55W direkt/indirekter Lichtaustritt, 4000K, alu elo</v>
      </c>
      <c r="C878" s="16">
        <v>462.5</v>
      </c>
      <c r="D878" s="11">
        <v>73</v>
      </c>
      <c r="E878" s="7">
        <f t="shared" si="39"/>
        <v>1</v>
      </c>
      <c r="F878" s="22" t="str">
        <f>IF(ISERROR(VLOOKUP($A878,#REF!,3,0)),"x",VLOOKUP($A878,#REF!,3,FALSE))</f>
        <v>x</v>
      </c>
      <c r="G878" s="9">
        <f t="shared" si="40"/>
        <v>1</v>
      </c>
      <c r="H878" s="13">
        <f t="shared" si="41"/>
        <v>462.5</v>
      </c>
    </row>
    <row r="879" spans="1:8" x14ac:dyDescent="0.25">
      <c r="A879" s="2" t="str">
        <f>"HAPI-45SW7O"</f>
        <v>HAPI-45SW7O</v>
      </c>
      <c r="B879" s="2" t="str">
        <f>"HIGHWAY, Pendelleuchte, LED, 55W direkt/indirekter Lichtaustritt, 2700K, alu elo"</f>
        <v>HIGHWAY, Pendelleuchte, LED, 55W direkt/indirekter Lichtaustritt, 2700K, alu elo</v>
      </c>
      <c r="C879" s="16">
        <v>462.5</v>
      </c>
      <c r="D879" s="11">
        <v>73</v>
      </c>
      <c r="E879" s="7">
        <f t="shared" si="39"/>
        <v>1</v>
      </c>
      <c r="F879" s="22" t="str">
        <f>IF(ISERROR(VLOOKUP($A879,#REF!,3,0)),"x",VLOOKUP($A879,#REF!,3,FALSE))</f>
        <v>x</v>
      </c>
      <c r="G879" s="9">
        <f t="shared" si="40"/>
        <v>1</v>
      </c>
      <c r="H879" s="13">
        <f t="shared" si="41"/>
        <v>462.5</v>
      </c>
    </row>
    <row r="880" spans="1:8" x14ac:dyDescent="0.25">
      <c r="A880" s="2" t="str">
        <f>"HAPI-45WW7O"</f>
        <v>HAPI-45WW7O</v>
      </c>
      <c r="B880" s="2" t="str">
        <f>"HIGHWAY Pendelleuchte, LED, 55W, direkt/indirekter Lichtaustritt, 3000K, alu elo"</f>
        <v>HIGHWAY Pendelleuchte, LED, 55W, direkt/indirekter Lichtaustritt, 3000K, alu elo</v>
      </c>
      <c r="C880" s="16">
        <v>462.5</v>
      </c>
      <c r="D880" s="11">
        <v>73</v>
      </c>
      <c r="E880" s="7">
        <f t="shared" si="39"/>
        <v>1</v>
      </c>
      <c r="F880" s="22" t="str">
        <f>IF(ISERROR(VLOOKUP($A880,#REF!,3,0)),"x",VLOOKUP($A880,#REF!,3,FALSE))</f>
        <v>x</v>
      </c>
      <c r="G880" s="9">
        <f t="shared" si="40"/>
        <v>1</v>
      </c>
      <c r="H880" s="13">
        <f t="shared" si="41"/>
        <v>462.5</v>
      </c>
    </row>
    <row r="881" spans="1:8" x14ac:dyDescent="0.25">
      <c r="A881" s="2" t="str">
        <f>"HBN-200NW2D"</f>
        <v>HBN-200NW2D</v>
      </c>
      <c r="B881" s="2" t="str">
        <f>"HBN Hallenleuchte, LED 200/150/120W, 4000K, 1-10V, 90°, schwarz"</f>
        <v>HBN Hallenleuchte, LED 200/150/120W, 4000K, 1-10V, 90°, schwarz</v>
      </c>
      <c r="C881" s="16">
        <v>312.5</v>
      </c>
      <c r="D881" s="11">
        <v>205</v>
      </c>
      <c r="E881" s="7">
        <f t="shared" si="39"/>
        <v>1</v>
      </c>
      <c r="F881" s="22" t="str">
        <f>IF(ISERROR(VLOOKUP($A881,#REF!,3,0)),"x",VLOOKUP($A881,#REF!,3,FALSE))</f>
        <v>x</v>
      </c>
      <c r="G881" s="9">
        <f t="shared" si="40"/>
        <v>1</v>
      </c>
      <c r="H881" s="13">
        <f t="shared" si="41"/>
        <v>312.5</v>
      </c>
    </row>
    <row r="882" spans="1:8" x14ac:dyDescent="0.25">
      <c r="A882" s="2" t="str">
        <f>"HBN-200NW2DF"</f>
        <v>HBN-200NW2DF</v>
      </c>
      <c r="B882" s="2" t="str">
        <f>"HBN Hallenleuchte, LED 200/150/120W, 4000K, 1-10V, 120°, schwarz"</f>
        <v>HBN Hallenleuchte, LED 200/150/120W, 4000K, 1-10V, 120°, schwarz</v>
      </c>
      <c r="C882" s="16">
        <v>312.5</v>
      </c>
      <c r="D882" s="11">
        <v>205</v>
      </c>
      <c r="E882" s="7">
        <f t="shared" si="39"/>
        <v>1</v>
      </c>
      <c r="F882" s="22" t="str">
        <f>IF(ISERROR(VLOOKUP($A882,#REF!,3,0)),"x",VLOOKUP($A882,#REF!,3,FALSE))</f>
        <v>x</v>
      </c>
      <c r="G882" s="9">
        <f t="shared" si="40"/>
        <v>1</v>
      </c>
      <c r="H882" s="13">
        <f t="shared" si="41"/>
        <v>312.5</v>
      </c>
    </row>
    <row r="883" spans="1:8" x14ac:dyDescent="0.25">
      <c r="A883" s="2" t="str">
        <f>"HBN-CM"</f>
        <v>HBN-CM</v>
      </c>
      <c r="B883" s="2" t="str">
        <f>"Casambi Wireless Modul für HBN "</f>
        <v xml:space="preserve">Casambi Wireless Modul für HBN </v>
      </c>
      <c r="C883" s="16">
        <v>215</v>
      </c>
      <c r="D883" s="11">
        <v>205</v>
      </c>
      <c r="E883" s="7">
        <f t="shared" si="39"/>
        <v>1</v>
      </c>
      <c r="F883" s="22" t="str">
        <f>IF(ISERROR(VLOOKUP($A883,#REF!,3,0)),"x",VLOOKUP($A883,#REF!,3,FALSE))</f>
        <v>x</v>
      </c>
      <c r="G883" s="9">
        <f t="shared" si="40"/>
        <v>1</v>
      </c>
      <c r="H883" s="13">
        <f t="shared" si="41"/>
        <v>215</v>
      </c>
    </row>
    <row r="884" spans="1:8" x14ac:dyDescent="0.25">
      <c r="A884" s="2" t="str">
        <f>"HBN-FBS"</f>
        <v>HBN-FBS</v>
      </c>
      <c r="B884" s="2" t="str">
        <f>"Fernbedienung für HBN Sensor Module"</f>
        <v>Fernbedienung für HBN Sensor Module</v>
      </c>
      <c r="C884" s="16">
        <v>42.5</v>
      </c>
      <c r="D884" s="11">
        <v>205</v>
      </c>
      <c r="E884" s="7">
        <f t="shared" si="39"/>
        <v>1</v>
      </c>
      <c r="F884" s="22" t="str">
        <f>IF(ISERROR(VLOOKUP($A884,#REF!,3,0)),"x",VLOOKUP($A884,#REF!,3,FALSE))</f>
        <v>x</v>
      </c>
      <c r="G884" s="9">
        <f t="shared" si="40"/>
        <v>1</v>
      </c>
      <c r="H884" s="13">
        <f t="shared" si="41"/>
        <v>42.5</v>
      </c>
    </row>
    <row r="885" spans="1:8" x14ac:dyDescent="0.25">
      <c r="A885" s="2" t="str">
        <f>"HBN-HALT"</f>
        <v>HBN-HALT</v>
      </c>
      <c r="B885" s="2" t="str">
        <f>"Haltebügel, für Hallenleuchte HBN 200W"</f>
        <v>Haltebügel, für Hallenleuchte HBN 200W</v>
      </c>
      <c r="C885" s="16">
        <v>17.5</v>
      </c>
      <c r="D885" s="11">
        <v>205</v>
      </c>
      <c r="E885" s="7">
        <f t="shared" si="39"/>
        <v>1</v>
      </c>
      <c r="F885" s="22" t="str">
        <f>IF(ISERROR(VLOOKUP($A885,#REF!,3,0)),"x",VLOOKUP($A885,#REF!,3,FALSE))</f>
        <v>x</v>
      </c>
      <c r="G885" s="9">
        <f t="shared" si="40"/>
        <v>1</v>
      </c>
      <c r="H885" s="13">
        <f t="shared" si="41"/>
        <v>17.5</v>
      </c>
    </row>
    <row r="886" spans="1:8" x14ac:dyDescent="0.25">
      <c r="A886" s="2" t="str">
        <f>"HBN-HALT1"</f>
        <v>HBN-HALT1</v>
      </c>
      <c r="B886" s="2" t="str">
        <f>"Haltebügel, für Hallenleuchte HBN 200W"</f>
        <v>Haltebügel, für Hallenleuchte HBN 200W</v>
      </c>
      <c r="C886" s="16">
        <v>32.5</v>
      </c>
      <c r="D886" s="11">
        <v>205</v>
      </c>
      <c r="E886" s="7">
        <f t="shared" si="39"/>
        <v>1</v>
      </c>
      <c r="F886" s="22" t="str">
        <f>IF(ISERROR(VLOOKUP($A886,#REF!,3,0)),"x",VLOOKUP($A886,#REF!,3,FALSE))</f>
        <v>x</v>
      </c>
      <c r="G886" s="9">
        <f t="shared" si="40"/>
        <v>1</v>
      </c>
      <c r="H886" s="13">
        <f t="shared" si="41"/>
        <v>32.5</v>
      </c>
    </row>
    <row r="887" spans="1:8" x14ac:dyDescent="0.25">
      <c r="A887" s="2" t="str">
        <f>"HBN-K"</f>
        <v>HBN-K</v>
      </c>
      <c r="B887" s="2" t="str">
        <f>"Kettenaufhängung, für Hallenleuchte HBN 200W, 500mm lang"</f>
        <v>Kettenaufhängung, für Hallenleuchte HBN 200W, 500mm lang</v>
      </c>
      <c r="C887" s="16">
        <v>12.5</v>
      </c>
      <c r="D887" s="11">
        <v>205</v>
      </c>
      <c r="E887" s="7">
        <f t="shared" si="39"/>
        <v>1</v>
      </c>
      <c r="F887" s="22" t="str">
        <f>IF(ISERROR(VLOOKUP($A887,#REF!,3,0)),"x",VLOOKUP($A887,#REF!,3,FALSE))</f>
        <v>x</v>
      </c>
      <c r="G887" s="9">
        <f t="shared" si="40"/>
        <v>1</v>
      </c>
      <c r="H887" s="13">
        <f t="shared" si="41"/>
        <v>12.5</v>
      </c>
    </row>
    <row r="888" spans="1:8" x14ac:dyDescent="0.25">
      <c r="A888" s="2" t="str">
        <f>"HBN-L90"</f>
        <v>HBN-L90</v>
      </c>
      <c r="B888" s="2" t="str">
        <f>"HBN Linsenaufsatz 90°, transparent"</f>
        <v>HBN Linsenaufsatz 90°, transparent</v>
      </c>
      <c r="C888" s="16">
        <v>12.5</v>
      </c>
      <c r="D888" s="11">
        <v>205</v>
      </c>
      <c r="E888" s="7">
        <f t="shared" si="39"/>
        <v>1</v>
      </c>
      <c r="F888" s="22" t="str">
        <f>IF(ISERROR(VLOOKUP($A888,#REF!,3,0)),"x",VLOOKUP($A888,#REF!,3,FALSE))</f>
        <v>x</v>
      </c>
      <c r="G888" s="9">
        <f t="shared" si="40"/>
        <v>1</v>
      </c>
      <c r="H888" s="13">
        <f t="shared" si="41"/>
        <v>12.5</v>
      </c>
    </row>
    <row r="889" spans="1:8" x14ac:dyDescent="0.25">
      <c r="A889" s="2" t="str">
        <f>"HBN-RM02"</f>
        <v>HBN-RM02</v>
      </c>
      <c r="B889" s="2" t="str">
        <f>"Aluminium Reflektor schwarz für Hallenleuchte HBN 200W"</f>
        <v>Aluminium Reflektor schwarz für Hallenleuchte HBN 200W</v>
      </c>
      <c r="C889" s="16">
        <v>50</v>
      </c>
      <c r="D889" s="11">
        <v>205</v>
      </c>
      <c r="E889" s="7">
        <f t="shared" si="39"/>
        <v>1</v>
      </c>
      <c r="F889" s="22" t="str">
        <f>IF(ISERROR(VLOOKUP($A889,#REF!,3,0)),"x",VLOOKUP($A889,#REF!,3,FALSE))</f>
        <v>x</v>
      </c>
      <c r="G889" s="9">
        <f t="shared" si="40"/>
        <v>1</v>
      </c>
      <c r="H889" s="13">
        <f t="shared" si="41"/>
        <v>50</v>
      </c>
    </row>
    <row r="890" spans="1:8" x14ac:dyDescent="0.25">
      <c r="A890" s="2" t="str">
        <f>"HBN-RPC"</f>
        <v>HBN-RPC</v>
      </c>
      <c r="B890" s="2" t="str">
        <f>"PC Reflektor für Hallenleuchte HBN 200W"</f>
        <v>PC Reflektor für Hallenleuchte HBN 200W</v>
      </c>
      <c r="C890" s="16">
        <v>50</v>
      </c>
      <c r="D890" s="11">
        <v>205</v>
      </c>
      <c r="E890" s="7">
        <f t="shared" si="39"/>
        <v>1</v>
      </c>
      <c r="F890" s="22" t="str">
        <f>IF(ISERROR(VLOOKUP($A890,#REF!,3,0)),"x",VLOOKUP($A890,#REF!,3,FALSE))</f>
        <v>x</v>
      </c>
      <c r="G890" s="9">
        <f t="shared" si="40"/>
        <v>1</v>
      </c>
      <c r="H890" s="13">
        <f t="shared" si="41"/>
        <v>50</v>
      </c>
    </row>
    <row r="891" spans="1:8" x14ac:dyDescent="0.25">
      <c r="A891" s="2" t="str">
        <f>"HBN-S"</f>
        <v>HBN-S</v>
      </c>
      <c r="B891" s="2" t="str">
        <f>"Tageslichtgesteuerter Präsenzmelder für HBN (HF  Bewegungssensor) "</f>
        <v xml:space="preserve">Tageslichtgesteuerter Präsenzmelder für HBN (HF  Bewegungssensor) </v>
      </c>
      <c r="C891" s="16">
        <v>40</v>
      </c>
      <c r="D891" s="11">
        <v>205</v>
      </c>
      <c r="E891" s="7">
        <f t="shared" si="39"/>
        <v>1</v>
      </c>
      <c r="F891" s="22" t="str">
        <f>IF(ISERROR(VLOOKUP($A891,#REF!,3,0)),"x",VLOOKUP($A891,#REF!,3,FALSE))</f>
        <v>x</v>
      </c>
      <c r="G891" s="9">
        <f t="shared" si="40"/>
        <v>1</v>
      </c>
      <c r="H891" s="13">
        <f t="shared" si="41"/>
        <v>40</v>
      </c>
    </row>
    <row r="892" spans="1:8" x14ac:dyDescent="0.25">
      <c r="A892" s="2" t="str">
        <f>"HBN-S1"</f>
        <v>HBN-S1</v>
      </c>
      <c r="B892" s="2" t="str">
        <f>"Tageslichtgesteuerter Präsenzmelder für HBN (Infrarot Bewegungssensor) "</f>
        <v xml:space="preserve">Tageslichtgesteuerter Präsenzmelder für HBN (Infrarot Bewegungssensor) </v>
      </c>
      <c r="C892" s="16">
        <v>50</v>
      </c>
      <c r="D892" s="11">
        <v>205</v>
      </c>
      <c r="E892" s="7">
        <f t="shared" si="39"/>
        <v>1</v>
      </c>
      <c r="F892" s="22" t="str">
        <f>IF(ISERROR(VLOOKUP($A892,#REF!,3,0)),"x",VLOOKUP($A892,#REF!,3,FALSE))</f>
        <v>x</v>
      </c>
      <c r="G892" s="9">
        <f t="shared" si="40"/>
        <v>1</v>
      </c>
      <c r="H892" s="13">
        <f t="shared" si="41"/>
        <v>50</v>
      </c>
    </row>
    <row r="893" spans="1:8" x14ac:dyDescent="0.25">
      <c r="A893" s="2" t="str">
        <f>"HE-END"</f>
        <v>HE-END</v>
      </c>
      <c r="B893" s="2" t="str">
        <f>"HIGHWAY, Endplatten 2-fach, inkl. Schrauben"</f>
        <v>HIGHWAY, Endplatten 2-fach, inkl. Schrauben</v>
      </c>
      <c r="C893" s="16">
        <v>62.75</v>
      </c>
      <c r="D893" s="11">
        <v>68</v>
      </c>
      <c r="E893" s="7">
        <f t="shared" si="39"/>
        <v>1</v>
      </c>
      <c r="F893" s="22" t="str">
        <f>IF(ISERROR(VLOOKUP($A893,#REF!,3,0)),"x",VLOOKUP($A893,#REF!,3,FALSE))</f>
        <v>x</v>
      </c>
      <c r="G893" s="9">
        <f t="shared" si="40"/>
        <v>1</v>
      </c>
      <c r="H893" s="13">
        <f t="shared" si="41"/>
        <v>62.75</v>
      </c>
    </row>
    <row r="894" spans="1:8" x14ac:dyDescent="0.25">
      <c r="A894" s="2" t="str">
        <f>"HE-EV"</f>
        <v>HE-EV</v>
      </c>
      <c r="B894" s="2" t="str">
        <f>"HIGHWAY, Eckverbinder für HE-xx"</f>
        <v>HIGHWAY, Eckverbinder für HE-xx</v>
      </c>
      <c r="C894" s="16">
        <v>81</v>
      </c>
      <c r="D894" s="11">
        <v>68</v>
      </c>
      <c r="E894" s="7">
        <f t="shared" si="39"/>
        <v>1</v>
      </c>
      <c r="F894" s="22" t="str">
        <f>IF(ISERROR(VLOOKUP($A894,#REF!,3,0)),"x",VLOOKUP($A894,#REF!,3,FALSE))</f>
        <v>x</v>
      </c>
      <c r="G894" s="9">
        <f t="shared" si="40"/>
        <v>1</v>
      </c>
      <c r="H894" s="13">
        <f t="shared" si="41"/>
        <v>81</v>
      </c>
    </row>
    <row r="895" spans="1:8" x14ac:dyDescent="0.25">
      <c r="A895" s="2" t="str">
        <f>"HE-TV"</f>
        <v>HE-TV</v>
      </c>
      <c r="B895" s="2" t="str">
        <f>"HIGHWAY, T-Verbinder für HE-xx"</f>
        <v>HIGHWAY, T-Verbinder für HE-xx</v>
      </c>
      <c r="C895" s="16">
        <v>130.25</v>
      </c>
      <c r="D895" s="11">
        <v>69</v>
      </c>
      <c r="E895" s="7">
        <f t="shared" si="39"/>
        <v>1</v>
      </c>
      <c r="F895" s="22" t="str">
        <f>IF(ISERROR(VLOOKUP($A895,#REF!,3,0)),"x",VLOOKUP($A895,#REF!,3,FALSE))</f>
        <v>x</v>
      </c>
      <c r="G895" s="9">
        <f t="shared" si="40"/>
        <v>1</v>
      </c>
      <c r="H895" s="13">
        <f t="shared" si="41"/>
        <v>130.25</v>
      </c>
    </row>
    <row r="896" spans="1:8" x14ac:dyDescent="0.25">
      <c r="A896" s="2" t="str">
        <f>"HE-WIN"</f>
        <v>HE-WIN</v>
      </c>
      <c r="B896" s="2" t="str">
        <f>"HIGHWAY, Einbauwinkel für Deckenmontage"</f>
        <v>HIGHWAY, Einbauwinkel für Deckenmontage</v>
      </c>
      <c r="C896" s="16">
        <v>10.5</v>
      </c>
      <c r="D896" s="11">
        <v>69</v>
      </c>
      <c r="E896" s="7">
        <f t="shared" si="39"/>
        <v>1</v>
      </c>
      <c r="F896" s="22" t="str">
        <f>IF(ISERROR(VLOOKUP($A896,#REF!,3,0)),"x",VLOOKUP($A896,#REF!,3,FALSE))</f>
        <v>x</v>
      </c>
      <c r="G896" s="9">
        <f t="shared" si="40"/>
        <v>1</v>
      </c>
      <c r="H896" s="13">
        <f t="shared" si="41"/>
        <v>10.5</v>
      </c>
    </row>
    <row r="897" spans="1:8" x14ac:dyDescent="0.25">
      <c r="A897" s="2" t="str">
        <f>"HE-X"</f>
        <v>HE-X</v>
      </c>
      <c r="B897" s="2" t="str">
        <f>"HIGHWAY Einbau, Aluminiumprofil, Länge xxx, eloxiert "</f>
        <v xml:space="preserve">HIGHWAY Einbau, Aluminiumprofil, Länge xxx, eloxiert </v>
      </c>
      <c r="C897" s="16">
        <v>55</v>
      </c>
      <c r="D897" s="11">
        <v>68</v>
      </c>
      <c r="E897" s="7">
        <f t="shared" si="39"/>
        <v>1</v>
      </c>
      <c r="F897" s="22" t="str">
        <f>IF(ISERROR(VLOOKUP($A897,#REF!,3,0)),"x",VLOOKUP($A897,#REF!,3,FALSE))</f>
        <v>x</v>
      </c>
      <c r="G897" s="9">
        <f t="shared" si="40"/>
        <v>1</v>
      </c>
      <c r="H897" s="13">
        <f t="shared" si="41"/>
        <v>55</v>
      </c>
    </row>
    <row r="898" spans="1:8" x14ac:dyDescent="0.25">
      <c r="A898" s="2" t="str">
        <f>"HE-XV"</f>
        <v>HE-XV</v>
      </c>
      <c r="B898" s="2" t="str">
        <f>"HIGHWAY, X-Verbinder für HE-xx"</f>
        <v>HIGHWAY, X-Verbinder für HE-xx</v>
      </c>
      <c r="C898" s="16">
        <v>166.75</v>
      </c>
      <c r="D898" s="11">
        <v>69</v>
      </c>
      <c r="E898" s="7">
        <f t="shared" si="39"/>
        <v>1</v>
      </c>
      <c r="F898" s="22" t="str">
        <f>IF(ISERROR(VLOOKUP($A898,#REF!,3,0)),"x",VLOOKUP($A898,#REF!,3,FALSE))</f>
        <v>x</v>
      </c>
      <c r="G898" s="9">
        <f t="shared" si="40"/>
        <v>1</v>
      </c>
      <c r="H898" s="13">
        <f t="shared" si="41"/>
        <v>166.75</v>
      </c>
    </row>
    <row r="899" spans="1:8" x14ac:dyDescent="0.25">
      <c r="A899" s="2" t="str">
        <f>"IAN120-15NW6"</f>
        <v>IAN120-15NW6</v>
      </c>
      <c r="B899" s="2" t="str">
        <f>"7074AN4K IANUS 120 Pollerleuchte, LED 15W, 4000K, 2 Lichtaustritt, anthrazit"</f>
        <v>7074AN4K IANUS 120 Pollerleuchte, LED 15W, 4000K, 2 Lichtaustritt, anthrazit</v>
      </c>
      <c r="C899" s="16">
        <v>612.5</v>
      </c>
      <c r="D899" s="11">
        <v>337</v>
      </c>
      <c r="E899" s="7">
        <f t="shared" si="39"/>
        <v>1</v>
      </c>
      <c r="F899" s="22" t="str">
        <f>IF(ISERROR(VLOOKUP($A899,#REF!,3,0)),"x",VLOOKUP($A899,#REF!,3,FALSE))</f>
        <v>x</v>
      </c>
      <c r="G899" s="9">
        <f t="shared" si="40"/>
        <v>1</v>
      </c>
      <c r="H899" s="13">
        <f t="shared" si="41"/>
        <v>612.5</v>
      </c>
    </row>
    <row r="900" spans="1:8" x14ac:dyDescent="0.25">
      <c r="A900" s="2" t="str">
        <f>"IAN120-15NW7"</f>
        <v>IAN120-15NW7</v>
      </c>
      <c r="B900" s="2" t="str">
        <f>"7074AG4K IANUS 120 Pollerleuchte, LED 15W, 4000K, 2 Lichtaustritt, aluminiumgrau"</f>
        <v>7074AG4K IANUS 120 Pollerleuchte, LED 15W, 4000K, 2 Lichtaustritt, aluminiumgrau</v>
      </c>
      <c r="C900" s="16">
        <v>612.5</v>
      </c>
      <c r="D900" s="11">
        <v>337</v>
      </c>
      <c r="E900" s="7">
        <f t="shared" ref="E900:E962" si="44">G900</f>
        <v>1</v>
      </c>
      <c r="F900" s="22" t="str">
        <f>IF(ISERROR(VLOOKUP($A900,#REF!,3,0)),"x",VLOOKUP($A900,#REF!,3,FALSE))</f>
        <v>x</v>
      </c>
      <c r="G900" s="9">
        <f t="shared" ref="G900:G962" si="45">IF(C900&lt;F900,1,IF(C900&gt;F900,-1,0))</f>
        <v>1</v>
      </c>
      <c r="H900" s="13">
        <f t="shared" si="41"/>
        <v>612.5</v>
      </c>
    </row>
    <row r="901" spans="1:8" x14ac:dyDescent="0.25">
      <c r="A901" s="2" t="str">
        <f>"IAN120-15WW6"</f>
        <v>IAN120-15WW6</v>
      </c>
      <c r="B901" s="2" t="str">
        <f>"7074AN3K IANUS 120 Pollerleuchte, LED 15W, 3000K, 2 Lichtaustritt, anthrazit"</f>
        <v>7074AN3K IANUS 120 Pollerleuchte, LED 15W, 3000K, 2 Lichtaustritt, anthrazit</v>
      </c>
      <c r="C901" s="16">
        <v>612.5</v>
      </c>
      <c r="D901" s="11">
        <v>337</v>
      </c>
      <c r="E901" s="7">
        <f t="shared" si="44"/>
        <v>1</v>
      </c>
      <c r="F901" s="22" t="str">
        <f>IF(ISERROR(VLOOKUP($A901,#REF!,3,0)),"x",VLOOKUP($A901,#REF!,3,FALSE))</f>
        <v>x</v>
      </c>
      <c r="G901" s="9">
        <f t="shared" si="45"/>
        <v>1</v>
      </c>
      <c r="H901" s="13">
        <f t="shared" si="41"/>
        <v>612.5</v>
      </c>
    </row>
    <row r="902" spans="1:8" x14ac:dyDescent="0.25">
      <c r="A902" s="2" t="str">
        <f>"IAN120-15WW7"</f>
        <v>IAN120-15WW7</v>
      </c>
      <c r="B902" s="2" t="str">
        <f>"7074AG3K IANUS 120 Pollerleuchte, LED 15W, 3000K, 2 Lichtaustritt, aluminiumgrau"</f>
        <v>7074AG3K IANUS 120 Pollerleuchte, LED 15W, 3000K, 2 Lichtaustritt, aluminiumgrau</v>
      </c>
      <c r="C902" s="16">
        <v>612.5</v>
      </c>
      <c r="D902" s="11">
        <v>337</v>
      </c>
      <c r="E902" s="7">
        <f t="shared" si="44"/>
        <v>1</v>
      </c>
      <c r="F902" s="22" t="str">
        <f>IF(ISERROR(VLOOKUP($A902,#REF!,3,0)),"x",VLOOKUP($A902,#REF!,3,FALSE))</f>
        <v>x</v>
      </c>
      <c r="G902" s="9">
        <f t="shared" si="45"/>
        <v>1</v>
      </c>
      <c r="H902" s="13">
        <f t="shared" ref="H902:H964" si="46">IF(F902="x",C902,F902)</f>
        <v>612.5</v>
      </c>
    </row>
    <row r="903" spans="1:8" x14ac:dyDescent="0.25">
      <c r="A903" s="2" t="str">
        <f>"IAN120-8NW6"</f>
        <v>IAN120-8NW6</v>
      </c>
      <c r="B903" s="2" t="str">
        <f>"7073AN4K IANUS 120 Pollerleuchte, LED 8W, 4000K, 1 Lichtaustritt, anthrazit"</f>
        <v>7073AN4K IANUS 120 Pollerleuchte, LED 8W, 4000K, 1 Lichtaustritt, anthrazit</v>
      </c>
      <c r="C903" s="16">
        <v>580</v>
      </c>
      <c r="D903" s="11">
        <v>337</v>
      </c>
      <c r="E903" s="7">
        <f t="shared" si="44"/>
        <v>1</v>
      </c>
      <c r="F903" s="22" t="str">
        <f>IF(ISERROR(VLOOKUP($A903,#REF!,3,0)),"x",VLOOKUP($A903,#REF!,3,FALSE))</f>
        <v>x</v>
      </c>
      <c r="G903" s="9">
        <f t="shared" si="45"/>
        <v>1</v>
      </c>
      <c r="H903" s="13">
        <f t="shared" si="46"/>
        <v>580</v>
      </c>
    </row>
    <row r="904" spans="1:8" x14ac:dyDescent="0.25">
      <c r="A904" s="2" t="str">
        <f>"IAN120-8NW7"</f>
        <v>IAN120-8NW7</v>
      </c>
      <c r="B904" s="2" t="str">
        <f>"7073AG4K IANUS 120 Pollerleuchte, LED 8W, 4000K, 1 Lichtaustritt, aluminiumgrau"</f>
        <v>7073AG4K IANUS 120 Pollerleuchte, LED 8W, 4000K, 1 Lichtaustritt, aluminiumgrau</v>
      </c>
      <c r="C904" s="16">
        <v>580</v>
      </c>
      <c r="D904" s="11">
        <v>337</v>
      </c>
      <c r="E904" s="7">
        <f t="shared" si="44"/>
        <v>1</v>
      </c>
      <c r="F904" s="22" t="str">
        <f>IF(ISERROR(VLOOKUP($A904,#REF!,3,0)),"x",VLOOKUP($A904,#REF!,3,FALSE))</f>
        <v>x</v>
      </c>
      <c r="G904" s="9">
        <f t="shared" si="45"/>
        <v>1</v>
      </c>
      <c r="H904" s="13">
        <f t="shared" si="46"/>
        <v>580</v>
      </c>
    </row>
    <row r="905" spans="1:8" x14ac:dyDescent="0.25">
      <c r="A905" s="2" t="str">
        <f>"IAN120-8WW6"</f>
        <v>IAN120-8WW6</v>
      </c>
      <c r="B905" s="2" t="str">
        <f>"7073AN3K IANUS 120 Pollerleuchte, LED 8W, 3000K, 1 Lichtaustritt, anthrazit"</f>
        <v>7073AN3K IANUS 120 Pollerleuchte, LED 8W, 3000K, 1 Lichtaustritt, anthrazit</v>
      </c>
      <c r="C905" s="16">
        <v>580</v>
      </c>
      <c r="D905" s="11">
        <v>337</v>
      </c>
      <c r="E905" s="7">
        <f t="shared" si="44"/>
        <v>1</v>
      </c>
      <c r="F905" s="22" t="str">
        <f>IF(ISERROR(VLOOKUP($A905,#REF!,3,0)),"x",VLOOKUP($A905,#REF!,3,FALSE))</f>
        <v>x</v>
      </c>
      <c r="G905" s="9">
        <f t="shared" si="45"/>
        <v>1</v>
      </c>
      <c r="H905" s="13">
        <f t="shared" si="46"/>
        <v>580</v>
      </c>
    </row>
    <row r="906" spans="1:8" x14ac:dyDescent="0.25">
      <c r="A906" s="2" t="str">
        <f>"IAN120-8WW7"</f>
        <v>IAN120-8WW7</v>
      </c>
      <c r="B906" s="2" t="str">
        <f>"7073AG3K IANUS 120 Pollerleuchte, LED 8W, 3000K, 1 Lichtaustritt, aluminiumgrau"</f>
        <v>7073AG3K IANUS 120 Pollerleuchte, LED 8W, 3000K, 1 Lichtaustritt, aluminiumgrau</v>
      </c>
      <c r="C906" s="16">
        <v>580</v>
      </c>
      <c r="D906" s="11">
        <v>337</v>
      </c>
      <c r="E906" s="7">
        <f t="shared" si="44"/>
        <v>1</v>
      </c>
      <c r="F906" s="22" t="str">
        <f>IF(ISERROR(VLOOKUP($A906,#REF!,3,0)),"x",VLOOKUP($A906,#REF!,3,FALSE))</f>
        <v>x</v>
      </c>
      <c r="G906" s="9">
        <f t="shared" si="45"/>
        <v>1</v>
      </c>
      <c r="H906" s="13">
        <f t="shared" si="46"/>
        <v>580</v>
      </c>
    </row>
    <row r="907" spans="1:8" x14ac:dyDescent="0.25">
      <c r="A907" s="2" t="str">
        <f>"IAN120M-15NW6"</f>
        <v>IAN120M-15NW6</v>
      </c>
      <c r="B907" s="2" t="str">
        <f>"7076AN4K IANUS 120 Pollerleuchte, LED 15W, 4000K, 2 Lichtaustritt, anthrazit"</f>
        <v>7076AN4K IANUS 120 Pollerleuchte, LED 15W, 4000K, 2 Lichtaustritt, anthrazit</v>
      </c>
      <c r="C907" s="16">
        <v>760</v>
      </c>
      <c r="D907" s="11">
        <v>337</v>
      </c>
      <c r="E907" s="7">
        <f t="shared" si="44"/>
        <v>1</v>
      </c>
      <c r="F907" s="22" t="str">
        <f>IF(ISERROR(VLOOKUP($A907,#REF!,3,0)),"x",VLOOKUP($A907,#REF!,3,FALSE))</f>
        <v>x</v>
      </c>
      <c r="G907" s="9">
        <f t="shared" si="45"/>
        <v>1</v>
      </c>
      <c r="H907" s="13">
        <f t="shared" si="46"/>
        <v>760</v>
      </c>
    </row>
    <row r="908" spans="1:8" x14ac:dyDescent="0.25">
      <c r="A908" s="2" t="str">
        <f>"IAN120M-15NW7"</f>
        <v>IAN120M-15NW7</v>
      </c>
      <c r="B908" s="2" t="str">
        <f>"7076AG4K IANUS 120 Pollerleuchte, LED 15W, 4000K, 2 Lichtaustritt, aluminiumgrau"</f>
        <v>7076AG4K IANUS 120 Pollerleuchte, LED 15W, 4000K, 2 Lichtaustritt, aluminiumgrau</v>
      </c>
      <c r="C908" s="16">
        <v>760</v>
      </c>
      <c r="D908" s="11">
        <v>337</v>
      </c>
      <c r="E908" s="7">
        <f t="shared" si="44"/>
        <v>1</v>
      </c>
      <c r="F908" s="22" t="str">
        <f>IF(ISERROR(VLOOKUP($A908,#REF!,3,0)),"x",VLOOKUP($A908,#REF!,3,FALSE))</f>
        <v>x</v>
      </c>
      <c r="G908" s="9">
        <f t="shared" si="45"/>
        <v>1</v>
      </c>
      <c r="H908" s="13">
        <f t="shared" si="46"/>
        <v>760</v>
      </c>
    </row>
    <row r="909" spans="1:8" x14ac:dyDescent="0.25">
      <c r="A909" s="2" t="str">
        <f>"IAN120M-15WW6"</f>
        <v>IAN120M-15WW6</v>
      </c>
      <c r="B909" s="2" t="str">
        <f>"7076AN3K IANUS 120 Pollerleuchte, LED 15W, 3000K, 2 Lichtaustritt, anthrazit"</f>
        <v>7076AN3K IANUS 120 Pollerleuchte, LED 15W, 3000K, 2 Lichtaustritt, anthrazit</v>
      </c>
      <c r="C909" s="16">
        <v>760</v>
      </c>
      <c r="D909" s="11">
        <v>337</v>
      </c>
      <c r="E909" s="7">
        <f t="shared" si="44"/>
        <v>1</v>
      </c>
      <c r="F909" s="22" t="str">
        <f>IF(ISERROR(VLOOKUP($A909,#REF!,3,0)),"x",VLOOKUP($A909,#REF!,3,FALSE))</f>
        <v>x</v>
      </c>
      <c r="G909" s="9">
        <f t="shared" si="45"/>
        <v>1</v>
      </c>
      <c r="H909" s="13">
        <f t="shared" si="46"/>
        <v>760</v>
      </c>
    </row>
    <row r="910" spans="1:8" x14ac:dyDescent="0.25">
      <c r="A910" s="2" t="str">
        <f>"IAN120M-15WW7"</f>
        <v>IAN120M-15WW7</v>
      </c>
      <c r="B910" s="2" t="str">
        <f>"7076AG3K IANUS 120 Pollerleuchte, LED 15W, 3000K, 2 Lichtaustritt, aluminiumgrau"</f>
        <v>7076AG3K IANUS 120 Pollerleuchte, LED 15W, 3000K, 2 Lichtaustritt, aluminiumgrau</v>
      </c>
      <c r="C910" s="16">
        <v>760</v>
      </c>
      <c r="D910" s="11">
        <v>337</v>
      </c>
      <c r="E910" s="7">
        <f t="shared" si="44"/>
        <v>1</v>
      </c>
      <c r="F910" s="22" t="str">
        <f>IF(ISERROR(VLOOKUP($A910,#REF!,3,0)),"x",VLOOKUP($A910,#REF!,3,FALSE))</f>
        <v>x</v>
      </c>
      <c r="G910" s="9">
        <f t="shared" si="45"/>
        <v>1</v>
      </c>
      <c r="H910" s="13">
        <f t="shared" si="46"/>
        <v>760</v>
      </c>
    </row>
    <row r="911" spans="1:8" x14ac:dyDescent="0.25">
      <c r="A911" s="2" t="str">
        <f>"IAN120M-8NW6"</f>
        <v>IAN120M-8NW6</v>
      </c>
      <c r="B911" s="2" t="str">
        <f>"7075AN4K IANUS 120 Pollerleuchte, LED 8W, 4000K, 1 Lichtaustritt, anthrazit"</f>
        <v>7075AN4K IANUS 120 Pollerleuchte, LED 8W, 4000K, 1 Lichtaustritt, anthrazit</v>
      </c>
      <c r="C911" s="16">
        <v>727.5</v>
      </c>
      <c r="D911" s="11">
        <v>337</v>
      </c>
      <c r="E911" s="7">
        <f t="shared" si="44"/>
        <v>1</v>
      </c>
      <c r="F911" s="22" t="str">
        <f>IF(ISERROR(VLOOKUP($A911,#REF!,3,0)),"x",VLOOKUP($A911,#REF!,3,FALSE))</f>
        <v>x</v>
      </c>
      <c r="G911" s="9">
        <f t="shared" si="45"/>
        <v>1</v>
      </c>
      <c r="H911" s="13">
        <f t="shared" si="46"/>
        <v>727.5</v>
      </c>
    </row>
    <row r="912" spans="1:8" x14ac:dyDescent="0.25">
      <c r="A912" s="2" t="str">
        <f>"IAN120M-8NW7"</f>
        <v>IAN120M-8NW7</v>
      </c>
      <c r="B912" s="2" t="str">
        <f>"7075AG4K IANUS 120 Pollerleuchte, LED 8W, 4000K, 1 Lichtaustritt, aluminiumgrau"</f>
        <v>7075AG4K IANUS 120 Pollerleuchte, LED 8W, 4000K, 1 Lichtaustritt, aluminiumgrau</v>
      </c>
      <c r="C912" s="16">
        <v>727.5</v>
      </c>
      <c r="D912" s="11">
        <v>337</v>
      </c>
      <c r="E912" s="7">
        <f t="shared" si="44"/>
        <v>1</v>
      </c>
      <c r="F912" s="22" t="str">
        <f>IF(ISERROR(VLOOKUP($A912,#REF!,3,0)),"x",VLOOKUP($A912,#REF!,3,FALSE))</f>
        <v>x</v>
      </c>
      <c r="G912" s="9">
        <f t="shared" si="45"/>
        <v>1</v>
      </c>
      <c r="H912" s="13">
        <f t="shared" si="46"/>
        <v>727.5</v>
      </c>
    </row>
    <row r="913" spans="1:8" x14ac:dyDescent="0.25">
      <c r="A913" s="2" t="str">
        <f>"IAN120M-8WW6"</f>
        <v>IAN120M-8WW6</v>
      </c>
      <c r="B913" s="2" t="str">
        <f>"7075AN3K IANUS 120 Pollerleuchte, LED 8W, 3000K, 1 Lichtaustritt, anthrazit"</f>
        <v>7075AN3K IANUS 120 Pollerleuchte, LED 8W, 3000K, 1 Lichtaustritt, anthrazit</v>
      </c>
      <c r="C913" s="16">
        <v>727.5</v>
      </c>
      <c r="D913" s="11">
        <v>337</v>
      </c>
      <c r="E913" s="7">
        <f t="shared" si="44"/>
        <v>1</v>
      </c>
      <c r="F913" s="22" t="str">
        <f>IF(ISERROR(VLOOKUP($A913,#REF!,3,0)),"x",VLOOKUP($A913,#REF!,3,FALSE))</f>
        <v>x</v>
      </c>
      <c r="G913" s="9">
        <f t="shared" si="45"/>
        <v>1</v>
      </c>
      <c r="H913" s="13">
        <f t="shared" si="46"/>
        <v>727.5</v>
      </c>
    </row>
    <row r="914" spans="1:8" x14ac:dyDescent="0.25">
      <c r="A914" s="2" t="str">
        <f>"IAN120M-8WW7"</f>
        <v>IAN120M-8WW7</v>
      </c>
      <c r="B914" s="2" t="str">
        <f>"7075AG3K IANUS 120 Pollerleuchte, LED 8W, 3000K, 1 Lichtaustritt, aluminiumgrau"</f>
        <v>7075AG3K IANUS 120 Pollerleuchte, LED 8W, 3000K, 1 Lichtaustritt, aluminiumgrau</v>
      </c>
      <c r="C914" s="16">
        <v>727.5</v>
      </c>
      <c r="D914" s="11">
        <v>337</v>
      </c>
      <c r="E914" s="7">
        <f t="shared" si="44"/>
        <v>1</v>
      </c>
      <c r="F914" s="22" t="str">
        <f>IF(ISERROR(VLOOKUP($A914,#REF!,3,0)),"x",VLOOKUP($A914,#REF!,3,FALSE))</f>
        <v>x</v>
      </c>
      <c r="G914" s="9">
        <f t="shared" si="45"/>
        <v>1</v>
      </c>
      <c r="H914" s="13">
        <f t="shared" si="46"/>
        <v>727.5</v>
      </c>
    </row>
    <row r="915" spans="1:8" x14ac:dyDescent="0.25">
      <c r="A915" s="2" t="str">
        <f>"IAN60-4NW6"</f>
        <v>IAN60-4NW6</v>
      </c>
      <c r="B915" s="2" t="str">
        <f>"7071AN4K IANUS 60 Leuchtenkopf, LED 4,6W, 4000K, 1 Lichtaustritt, anthrazit"</f>
        <v>7071AN4K IANUS 60 Leuchtenkopf, LED 4,6W, 4000K, 1 Lichtaustritt, anthrazit</v>
      </c>
      <c r="C915" s="16">
        <v>252.5</v>
      </c>
      <c r="D915" s="11">
        <v>335</v>
      </c>
      <c r="E915" s="7">
        <f t="shared" si="44"/>
        <v>1</v>
      </c>
      <c r="F915" s="22" t="str">
        <f>IF(ISERROR(VLOOKUP($A915,#REF!,3,0)),"x",VLOOKUP($A915,#REF!,3,FALSE))</f>
        <v>x</v>
      </c>
      <c r="G915" s="9">
        <f t="shared" si="45"/>
        <v>1</v>
      </c>
      <c r="H915" s="13">
        <f t="shared" si="46"/>
        <v>252.5</v>
      </c>
    </row>
    <row r="916" spans="1:8" x14ac:dyDescent="0.25">
      <c r="A916" s="2" t="str">
        <f>"IAN60-4NW7"</f>
        <v>IAN60-4NW7</v>
      </c>
      <c r="B916" s="2" t="str">
        <f>"7071AG4K IANUS 60 Leuchtenkopf, LED 4,6W, 4000K, 1 Lichtaustritt, aluminiumgrau"</f>
        <v>7071AG4K IANUS 60 Leuchtenkopf, LED 4,6W, 4000K, 1 Lichtaustritt, aluminiumgrau</v>
      </c>
      <c r="C916" s="16">
        <v>252.5</v>
      </c>
      <c r="D916" s="11">
        <v>335</v>
      </c>
      <c r="E916" s="7">
        <f t="shared" si="44"/>
        <v>1</v>
      </c>
      <c r="F916" s="22" t="str">
        <f>IF(ISERROR(VLOOKUP($A916,#REF!,3,0)),"x",VLOOKUP($A916,#REF!,3,FALSE))</f>
        <v>x</v>
      </c>
      <c r="G916" s="9">
        <f t="shared" si="45"/>
        <v>1</v>
      </c>
      <c r="H916" s="13">
        <f t="shared" si="46"/>
        <v>252.5</v>
      </c>
    </row>
    <row r="917" spans="1:8" x14ac:dyDescent="0.25">
      <c r="A917" s="2" t="str">
        <f>"IAN60-4WW6"</f>
        <v>IAN60-4WW6</v>
      </c>
      <c r="B917" s="2" t="str">
        <f>"7071AN3K IANUS 60 Leuchtenkopf, LED 4,6W, 3000K, 1 Lichtaustritt, anthrazit"</f>
        <v>7071AN3K IANUS 60 Leuchtenkopf, LED 4,6W, 3000K, 1 Lichtaustritt, anthrazit</v>
      </c>
      <c r="C917" s="16">
        <v>252.5</v>
      </c>
      <c r="D917" s="11">
        <v>335</v>
      </c>
      <c r="E917" s="7">
        <f t="shared" si="44"/>
        <v>1</v>
      </c>
      <c r="F917" s="22" t="str">
        <f>IF(ISERROR(VLOOKUP($A917,#REF!,3,0)),"x",VLOOKUP($A917,#REF!,3,FALSE))</f>
        <v>x</v>
      </c>
      <c r="G917" s="9">
        <f t="shared" si="45"/>
        <v>1</v>
      </c>
      <c r="H917" s="13">
        <f t="shared" si="46"/>
        <v>252.5</v>
      </c>
    </row>
    <row r="918" spans="1:8" x14ac:dyDescent="0.25">
      <c r="A918" s="2" t="str">
        <f>"IAN60-4WW7"</f>
        <v>IAN60-4WW7</v>
      </c>
      <c r="B918" s="2" t="str">
        <f>"7071AG3K IANUS 60 Leuchtenkopf, LED 4,6W, 3000K, 1 Lichtaustritt, aluminiumgrau"</f>
        <v>7071AG3K IANUS 60 Leuchtenkopf, LED 4,6W, 3000K, 1 Lichtaustritt, aluminiumgrau</v>
      </c>
      <c r="C918" s="16">
        <v>252.5</v>
      </c>
      <c r="D918" s="11">
        <v>335</v>
      </c>
      <c r="E918" s="7">
        <f t="shared" si="44"/>
        <v>1</v>
      </c>
      <c r="F918" s="22" t="str">
        <f>IF(ISERROR(VLOOKUP($A918,#REF!,3,0)),"x",VLOOKUP($A918,#REF!,3,FALSE))</f>
        <v>x</v>
      </c>
      <c r="G918" s="9">
        <f t="shared" si="45"/>
        <v>1</v>
      </c>
      <c r="H918" s="13">
        <f t="shared" si="46"/>
        <v>252.5</v>
      </c>
    </row>
    <row r="919" spans="1:8" x14ac:dyDescent="0.25">
      <c r="A919" s="2" t="str">
        <f>"IAN60-8NW6"</f>
        <v>IAN60-8NW6</v>
      </c>
      <c r="B919" s="2" t="str">
        <f>"7072AN4K IANUS 60 Leuchtenkopf, LED 8W, 4000K, 2 Lichtaustritt, anthrazit"</f>
        <v>7072AN4K IANUS 60 Leuchtenkopf, LED 8W, 4000K, 2 Lichtaustritt, anthrazit</v>
      </c>
      <c r="C919" s="16">
        <v>280</v>
      </c>
      <c r="D919" s="11">
        <v>335</v>
      </c>
      <c r="E919" s="7">
        <f t="shared" si="44"/>
        <v>1</v>
      </c>
      <c r="F919" s="22" t="str">
        <f>IF(ISERROR(VLOOKUP($A919,#REF!,3,0)),"x",VLOOKUP($A919,#REF!,3,FALSE))</f>
        <v>x</v>
      </c>
      <c r="G919" s="9">
        <f t="shared" si="45"/>
        <v>1</v>
      </c>
      <c r="H919" s="13">
        <f t="shared" si="46"/>
        <v>280</v>
      </c>
    </row>
    <row r="920" spans="1:8" x14ac:dyDescent="0.25">
      <c r="A920" s="2" t="str">
        <f>"IAN60-8NW7"</f>
        <v>IAN60-8NW7</v>
      </c>
      <c r="B920" s="2" t="str">
        <f>"7072AG4K IANUS 60 Leuchtenkopf, LED 8W, 4000K, 2 Lichtaustritt, aluminiumgrau"</f>
        <v>7072AG4K IANUS 60 Leuchtenkopf, LED 8W, 4000K, 2 Lichtaustritt, aluminiumgrau</v>
      </c>
      <c r="C920" s="16">
        <v>280</v>
      </c>
      <c r="D920" s="11">
        <v>335</v>
      </c>
      <c r="E920" s="7">
        <f t="shared" si="44"/>
        <v>1</v>
      </c>
      <c r="F920" s="22" t="str">
        <f>IF(ISERROR(VLOOKUP($A920,#REF!,3,0)),"x",VLOOKUP($A920,#REF!,3,FALSE))</f>
        <v>x</v>
      </c>
      <c r="G920" s="9">
        <f t="shared" si="45"/>
        <v>1</v>
      </c>
      <c r="H920" s="13">
        <f t="shared" si="46"/>
        <v>280</v>
      </c>
    </row>
    <row r="921" spans="1:8" x14ac:dyDescent="0.25">
      <c r="A921" s="2" t="str">
        <f>"IAN60-8WW6"</f>
        <v>IAN60-8WW6</v>
      </c>
      <c r="B921" s="2" t="str">
        <f>"7072AN3K IANUS 60 Leuchtenkopf, LED 8W, 3000K, 2 Lichtaustritt, anthrazit"</f>
        <v>7072AN3K IANUS 60 Leuchtenkopf, LED 8W, 3000K, 2 Lichtaustritt, anthrazit</v>
      </c>
      <c r="C921" s="16">
        <v>280</v>
      </c>
      <c r="D921" s="11">
        <v>335</v>
      </c>
      <c r="E921" s="7">
        <f t="shared" si="44"/>
        <v>1</v>
      </c>
      <c r="F921" s="22" t="str">
        <f>IF(ISERROR(VLOOKUP($A921,#REF!,3,0)),"x",VLOOKUP($A921,#REF!,3,FALSE))</f>
        <v>x</v>
      </c>
      <c r="G921" s="9">
        <f t="shared" si="45"/>
        <v>1</v>
      </c>
      <c r="H921" s="13">
        <f t="shared" si="46"/>
        <v>280</v>
      </c>
    </row>
    <row r="922" spans="1:8" x14ac:dyDescent="0.25">
      <c r="A922" s="2" t="str">
        <f>"IAN60-8WW7"</f>
        <v>IAN60-8WW7</v>
      </c>
      <c r="B922" s="2" t="str">
        <f>"7072AG3K IANUS 60 Leuchtenkopf, LED 8W, 3000K, 2 Lichtaustritt, aluminiumgrau"</f>
        <v>7072AG3K IANUS 60 Leuchtenkopf, LED 8W, 3000K, 2 Lichtaustritt, aluminiumgrau</v>
      </c>
      <c r="C922" s="16">
        <v>280</v>
      </c>
      <c r="D922" s="11">
        <v>335</v>
      </c>
      <c r="E922" s="7">
        <f t="shared" si="44"/>
        <v>1</v>
      </c>
      <c r="F922" s="22" t="str">
        <f>IF(ISERROR(VLOOKUP($A922,#REF!,3,0)),"x",VLOOKUP($A922,#REF!,3,FALSE))</f>
        <v>x</v>
      </c>
      <c r="G922" s="9">
        <f t="shared" si="45"/>
        <v>1</v>
      </c>
      <c r="H922" s="13">
        <f t="shared" si="46"/>
        <v>280</v>
      </c>
    </row>
    <row r="923" spans="1:8" x14ac:dyDescent="0.25">
      <c r="A923" s="2" t="str">
        <f>"IAN60D-37506"</f>
        <v>IAN60D-37506</v>
      </c>
      <c r="B923" s="2" t="str">
        <f>"3401AN IANUS 60 Pfahl, für IAN60-xx, zur Befestigung mit Dübel, anthrazit"</f>
        <v>3401AN IANUS 60 Pfahl, für IAN60-xx, zur Befestigung mit Dübel, anthrazit</v>
      </c>
      <c r="C923" s="16">
        <v>100</v>
      </c>
      <c r="D923" s="11">
        <v>335</v>
      </c>
      <c r="E923" s="7">
        <f t="shared" si="44"/>
        <v>1</v>
      </c>
      <c r="F923" s="22" t="str">
        <f>IF(ISERROR(VLOOKUP($A923,#REF!,3,0)),"x",VLOOKUP($A923,#REF!,3,FALSE))</f>
        <v>x</v>
      </c>
      <c r="G923" s="9">
        <f t="shared" si="45"/>
        <v>1</v>
      </c>
      <c r="H923" s="13">
        <f t="shared" si="46"/>
        <v>100</v>
      </c>
    </row>
    <row r="924" spans="1:8" x14ac:dyDescent="0.25">
      <c r="A924" s="2" t="str">
        <f>"IAN60D-37507"</f>
        <v>IAN60D-37507</v>
      </c>
      <c r="B924" s="2" t="str">
        <f>"3401AG IANUS 60 Pfahl, für IAN60-xx, zur Befestigung mit Dübel, aluminiumgrau"</f>
        <v>3401AG IANUS 60 Pfahl, für IAN60-xx, zur Befestigung mit Dübel, aluminiumgrau</v>
      </c>
      <c r="C924" s="16">
        <v>100</v>
      </c>
      <c r="D924" s="11">
        <v>335</v>
      </c>
      <c r="E924" s="7">
        <f t="shared" si="44"/>
        <v>1</v>
      </c>
      <c r="F924" s="22" t="str">
        <f>IF(ISERROR(VLOOKUP($A924,#REF!,3,0)),"x",VLOOKUP($A924,#REF!,3,FALSE))</f>
        <v>x</v>
      </c>
      <c r="G924" s="9">
        <f t="shared" si="45"/>
        <v>1</v>
      </c>
      <c r="H924" s="13">
        <f t="shared" si="46"/>
        <v>100</v>
      </c>
    </row>
    <row r="925" spans="1:8" x14ac:dyDescent="0.25">
      <c r="A925" s="2" t="str">
        <f>"IAN60D-80006"</f>
        <v>IAN60D-80006</v>
      </c>
      <c r="B925" s="2" t="str">
        <f>"3402AN IANUS 60 Pfahl, für IAN60-xx, zur Befestigung mit Dübel, anthrazit"</f>
        <v>3402AN IANUS 60 Pfahl, für IAN60-xx, zur Befestigung mit Dübel, anthrazit</v>
      </c>
      <c r="C925" s="16">
        <v>137.5</v>
      </c>
      <c r="D925" s="11">
        <v>335</v>
      </c>
      <c r="E925" s="7">
        <f t="shared" si="44"/>
        <v>1</v>
      </c>
      <c r="F925" s="22" t="str">
        <f>IF(ISERROR(VLOOKUP($A925,#REF!,3,0)),"x",VLOOKUP($A925,#REF!,3,FALSE))</f>
        <v>x</v>
      </c>
      <c r="G925" s="9">
        <f t="shared" si="45"/>
        <v>1</v>
      </c>
      <c r="H925" s="13">
        <f t="shared" si="46"/>
        <v>137.5</v>
      </c>
    </row>
    <row r="926" spans="1:8" x14ac:dyDescent="0.25">
      <c r="A926" s="2" t="str">
        <f>"IAN60D-80007"</f>
        <v>IAN60D-80007</v>
      </c>
      <c r="B926" s="2" t="str">
        <f>"3402AG IANUS 60 Pfahl, für IAN60-xx, zur Befestigung mit Dübel, aluminiumgrau"</f>
        <v>3402AG IANUS 60 Pfahl, für IAN60-xx, zur Befestigung mit Dübel, aluminiumgrau</v>
      </c>
      <c r="C926" s="16">
        <v>137.5</v>
      </c>
      <c r="D926" s="11">
        <v>335</v>
      </c>
      <c r="E926" s="7">
        <f t="shared" si="44"/>
        <v>1</v>
      </c>
      <c r="F926" s="22" t="str">
        <f>IF(ISERROR(VLOOKUP($A926,#REF!,3,0)),"x",VLOOKUP($A926,#REF!,3,FALSE))</f>
        <v>x</v>
      </c>
      <c r="G926" s="9">
        <f t="shared" si="45"/>
        <v>1</v>
      </c>
      <c r="H926" s="13">
        <f t="shared" si="46"/>
        <v>137.5</v>
      </c>
    </row>
    <row r="927" spans="1:8" x14ac:dyDescent="0.25">
      <c r="A927" s="2" t="str">
        <f>"IAND-16NW6AE"</f>
        <v>IAND-16NW6AE</v>
      </c>
      <c r="B927" s="2" t="str">
        <f>"7083AN4KN IANUS URBAN Mastleuchte, LED 16W, 4000K, asym. engstrahlend, anthrazit"</f>
        <v>7083AN4KN IANUS URBAN Mastleuchte, LED 16W, 4000K, asym. engstrahlend, anthrazit</v>
      </c>
      <c r="C927" s="16">
        <v>1380</v>
      </c>
      <c r="D927" s="11">
        <v>349</v>
      </c>
      <c r="E927" s="7">
        <f t="shared" si="44"/>
        <v>1</v>
      </c>
      <c r="F927" s="22" t="str">
        <f>IF(ISERROR(VLOOKUP($A927,#REF!,3,0)),"x",VLOOKUP($A927,#REF!,3,FALSE))</f>
        <v>x</v>
      </c>
      <c r="G927" s="9">
        <f t="shared" si="45"/>
        <v>1</v>
      </c>
      <c r="H927" s="13">
        <f t="shared" si="46"/>
        <v>1380</v>
      </c>
    </row>
    <row r="928" spans="1:8" x14ac:dyDescent="0.25">
      <c r="A928" s="2" t="str">
        <f>"IAND-16NW6AF"</f>
        <v>IAND-16NW6AF</v>
      </c>
      <c r="B928" s="2" t="str">
        <f>"7083AN4KW IANUS URBAN Mastleuchte, LED 16W, 4000K, asym. breitstr., anthrazit"</f>
        <v>7083AN4KW IANUS URBAN Mastleuchte, LED 16W, 4000K, asym. breitstr., anthrazit</v>
      </c>
      <c r="C928" s="16">
        <v>1380</v>
      </c>
      <c r="D928" s="11">
        <v>349</v>
      </c>
      <c r="E928" s="7">
        <f t="shared" si="44"/>
        <v>1</v>
      </c>
      <c r="F928" s="22" t="str">
        <f>IF(ISERROR(VLOOKUP($A928,#REF!,3,0)),"x",VLOOKUP($A928,#REF!,3,FALSE))</f>
        <v>x</v>
      </c>
      <c r="G928" s="9">
        <f t="shared" si="45"/>
        <v>1</v>
      </c>
      <c r="H928" s="13">
        <f t="shared" si="46"/>
        <v>1380</v>
      </c>
    </row>
    <row r="929" spans="1:8" x14ac:dyDescent="0.25">
      <c r="A929" s="2" t="str">
        <f>"IAND-16NW7AE"</f>
        <v>IAND-16NW7AE</v>
      </c>
      <c r="B929" s="2" t="str">
        <f>"7083AG4KN IANUS URBAN Mastleuchte, LED 16W, 4000K, asym. engstrahlend, alugrau"</f>
        <v>7083AG4KN IANUS URBAN Mastleuchte, LED 16W, 4000K, asym. engstrahlend, alugrau</v>
      </c>
      <c r="C929" s="16">
        <v>1380</v>
      </c>
      <c r="D929" s="11">
        <v>349</v>
      </c>
      <c r="E929" s="7">
        <f t="shared" si="44"/>
        <v>1</v>
      </c>
      <c r="F929" s="22" t="str">
        <f>IF(ISERROR(VLOOKUP($A929,#REF!,3,0)),"x",VLOOKUP($A929,#REF!,3,FALSE))</f>
        <v>x</v>
      </c>
      <c r="G929" s="9">
        <f t="shared" si="45"/>
        <v>1</v>
      </c>
      <c r="H929" s="13">
        <f t="shared" si="46"/>
        <v>1380</v>
      </c>
    </row>
    <row r="930" spans="1:8" x14ac:dyDescent="0.25">
      <c r="A930" s="2" t="str">
        <f>"IAND-16NW7AF"</f>
        <v>IAND-16NW7AF</v>
      </c>
      <c r="B930" s="2" t="str">
        <f>"7083AG4KW IANUS URBAN Mastleuchte, LED 16W, 4000K, asym. breitstrahlend, alugrau"</f>
        <v>7083AG4KW IANUS URBAN Mastleuchte, LED 16W, 4000K, asym. breitstrahlend, alugrau</v>
      </c>
      <c r="C930" s="16">
        <v>1380</v>
      </c>
      <c r="D930" s="11">
        <v>349</v>
      </c>
      <c r="E930" s="7">
        <f t="shared" si="44"/>
        <v>1</v>
      </c>
      <c r="F930" s="22" t="str">
        <f>IF(ISERROR(VLOOKUP($A930,#REF!,3,0)),"x",VLOOKUP($A930,#REF!,3,FALSE))</f>
        <v>x</v>
      </c>
      <c r="G930" s="9">
        <f t="shared" si="45"/>
        <v>1</v>
      </c>
      <c r="H930" s="13">
        <f t="shared" si="46"/>
        <v>1380</v>
      </c>
    </row>
    <row r="931" spans="1:8" x14ac:dyDescent="0.25">
      <c r="A931" s="2" t="str">
        <f>"IAND-16WW6AE"</f>
        <v>IAND-16WW6AE</v>
      </c>
      <c r="B931" s="2" t="str">
        <f>"7083AN3KN IANUS URBAN Mastleuchte, LED 16W, 3000K, asym. engstrahlend, anthrazit"</f>
        <v>7083AN3KN IANUS URBAN Mastleuchte, LED 16W, 3000K, asym. engstrahlend, anthrazit</v>
      </c>
      <c r="C931" s="16">
        <v>1380</v>
      </c>
      <c r="D931" s="11">
        <v>349</v>
      </c>
      <c r="E931" s="7">
        <f t="shared" si="44"/>
        <v>1</v>
      </c>
      <c r="F931" s="22" t="str">
        <f>IF(ISERROR(VLOOKUP($A931,#REF!,3,0)),"x",VLOOKUP($A931,#REF!,3,FALSE))</f>
        <v>x</v>
      </c>
      <c r="G931" s="9">
        <f t="shared" si="45"/>
        <v>1</v>
      </c>
      <c r="H931" s="13">
        <f t="shared" si="46"/>
        <v>1380</v>
      </c>
    </row>
    <row r="932" spans="1:8" x14ac:dyDescent="0.25">
      <c r="A932" s="2" t="str">
        <f>"IAND-16WW6AF"</f>
        <v>IAND-16WW6AF</v>
      </c>
      <c r="B932" s="2" t="str">
        <f>"7083AN3KW IANUS URBAN Mastleuchte, LED 16W, 3000K, asym. breitstr., anthrazit"</f>
        <v>7083AN3KW IANUS URBAN Mastleuchte, LED 16W, 3000K, asym. breitstr., anthrazit</v>
      </c>
      <c r="C932" s="16">
        <v>1380</v>
      </c>
      <c r="D932" s="11">
        <v>349</v>
      </c>
      <c r="E932" s="7">
        <f t="shared" si="44"/>
        <v>1</v>
      </c>
      <c r="F932" s="22" t="str">
        <f>IF(ISERROR(VLOOKUP($A932,#REF!,3,0)),"x",VLOOKUP($A932,#REF!,3,FALSE))</f>
        <v>x</v>
      </c>
      <c r="G932" s="9">
        <f t="shared" si="45"/>
        <v>1</v>
      </c>
      <c r="H932" s="13">
        <f t="shared" si="46"/>
        <v>1380</v>
      </c>
    </row>
    <row r="933" spans="1:8" x14ac:dyDescent="0.25">
      <c r="A933" s="2" t="str">
        <f>"IAND-16WW7AE"</f>
        <v>IAND-16WW7AE</v>
      </c>
      <c r="B933" s="2" t="str">
        <f>"7083AG3KN IANUS URBAN Mastleuchte, LED 16W, 3000K, asym. engstrahlend, alugrau"</f>
        <v>7083AG3KN IANUS URBAN Mastleuchte, LED 16W, 3000K, asym. engstrahlend, alugrau</v>
      </c>
      <c r="C933" s="16">
        <v>1380</v>
      </c>
      <c r="D933" s="11">
        <v>349</v>
      </c>
      <c r="E933" s="7">
        <f t="shared" si="44"/>
        <v>1</v>
      </c>
      <c r="F933" s="22" t="str">
        <f>IF(ISERROR(VLOOKUP($A933,#REF!,3,0)),"x",VLOOKUP($A933,#REF!,3,FALSE))</f>
        <v>x</v>
      </c>
      <c r="G933" s="9">
        <f t="shared" si="45"/>
        <v>1</v>
      </c>
      <c r="H933" s="13">
        <f t="shared" si="46"/>
        <v>1380</v>
      </c>
    </row>
    <row r="934" spans="1:8" x14ac:dyDescent="0.25">
      <c r="A934" s="2" t="str">
        <f>"IAND-16WW7AF"</f>
        <v>IAND-16WW7AF</v>
      </c>
      <c r="B934" s="2" t="str">
        <f>"7083AG3KW IANUS URBAN Mastleuchte, LED 16W, 3000K, asym. breitstrahlend, Alugrau"</f>
        <v>7083AG3KW IANUS URBAN Mastleuchte, LED 16W, 3000K, asym. breitstrahlend, Alugrau</v>
      </c>
      <c r="C934" s="16">
        <v>1380</v>
      </c>
      <c r="D934" s="11">
        <v>349</v>
      </c>
      <c r="E934" s="7">
        <f t="shared" si="44"/>
        <v>1</v>
      </c>
      <c r="F934" s="22" t="str">
        <f>IF(ISERROR(VLOOKUP($A934,#REF!,3,0)),"x",VLOOKUP($A934,#REF!,3,FALSE))</f>
        <v>x</v>
      </c>
      <c r="G934" s="9">
        <f t="shared" si="45"/>
        <v>1</v>
      </c>
      <c r="H934" s="13">
        <f t="shared" si="46"/>
        <v>1380</v>
      </c>
    </row>
    <row r="935" spans="1:8" x14ac:dyDescent="0.25">
      <c r="A935" s="2" t="str">
        <f>"IAND-32NW6AE"</f>
        <v>IAND-32NW6AE</v>
      </c>
      <c r="B935" s="2" t="str">
        <f>"7084AN4KN IANUS URBAN Mastleuchte, LED 32W, 4000K, asym. engstr., anthrazit"</f>
        <v>7084AN4KN IANUS URBAN Mastleuchte, LED 32W, 4000K, asym. engstr., anthrazit</v>
      </c>
      <c r="C935" s="16">
        <v>1457.5</v>
      </c>
      <c r="D935" s="11">
        <v>349</v>
      </c>
      <c r="E935" s="7">
        <f t="shared" si="44"/>
        <v>1</v>
      </c>
      <c r="F935" s="22" t="str">
        <f>IF(ISERROR(VLOOKUP($A935,#REF!,3,0)),"x",VLOOKUP($A935,#REF!,3,FALSE))</f>
        <v>x</v>
      </c>
      <c r="G935" s="9">
        <f t="shared" si="45"/>
        <v>1</v>
      </c>
      <c r="H935" s="13">
        <f t="shared" si="46"/>
        <v>1457.5</v>
      </c>
    </row>
    <row r="936" spans="1:8" x14ac:dyDescent="0.25">
      <c r="A936" s="2" t="str">
        <f>"IAND-32NW6AF"</f>
        <v>IAND-32NW6AF</v>
      </c>
      <c r="B936" s="2" t="str">
        <f>"7084AN4KW IANUS URBAN Mastleuchte, LED 32W, 4000K, asym. breitstr., anthrazit"</f>
        <v>7084AN4KW IANUS URBAN Mastleuchte, LED 32W, 4000K, asym. breitstr., anthrazit</v>
      </c>
      <c r="C936" s="16">
        <v>1457.5</v>
      </c>
      <c r="D936" s="11">
        <v>349</v>
      </c>
      <c r="E936" s="7">
        <f t="shared" si="44"/>
        <v>1</v>
      </c>
      <c r="F936" s="22" t="str">
        <f>IF(ISERROR(VLOOKUP($A936,#REF!,3,0)),"x",VLOOKUP($A936,#REF!,3,FALSE))</f>
        <v>x</v>
      </c>
      <c r="G936" s="9">
        <f t="shared" si="45"/>
        <v>1</v>
      </c>
      <c r="H936" s="13">
        <f t="shared" si="46"/>
        <v>1457.5</v>
      </c>
    </row>
    <row r="937" spans="1:8" x14ac:dyDescent="0.25">
      <c r="A937" s="2" t="str">
        <f>"IAND-32NW7AE"</f>
        <v>IAND-32NW7AE</v>
      </c>
      <c r="B937" s="2" t="str">
        <f>"7084AG4KN IANUS URBAN Mastleuchte, LED 32W, 4000K, asym. engstr., alugrau"</f>
        <v>7084AG4KN IANUS URBAN Mastleuchte, LED 32W, 4000K, asym. engstr., alugrau</v>
      </c>
      <c r="C937" s="16">
        <v>1457.5</v>
      </c>
      <c r="D937" s="11">
        <v>349</v>
      </c>
      <c r="E937" s="7">
        <f t="shared" si="44"/>
        <v>1</v>
      </c>
      <c r="F937" s="22" t="str">
        <f>IF(ISERROR(VLOOKUP($A937,#REF!,3,0)),"x",VLOOKUP($A937,#REF!,3,FALSE))</f>
        <v>x</v>
      </c>
      <c r="G937" s="9">
        <f t="shared" si="45"/>
        <v>1</v>
      </c>
      <c r="H937" s="13">
        <f t="shared" si="46"/>
        <v>1457.5</v>
      </c>
    </row>
    <row r="938" spans="1:8" x14ac:dyDescent="0.25">
      <c r="A938" s="2" t="str">
        <f>"IAND-32NW7AF"</f>
        <v>IAND-32NW7AF</v>
      </c>
      <c r="B938" s="2" t="str">
        <f>"7084AG4KW IANUS URBAN Mastleuchte, LED 32W, 4000K, asym. breitstr., alugrau"</f>
        <v>7084AG4KW IANUS URBAN Mastleuchte, LED 32W, 4000K, asym. breitstr., alugrau</v>
      </c>
      <c r="C938" s="16">
        <v>1457.5</v>
      </c>
      <c r="D938" s="11">
        <v>349</v>
      </c>
      <c r="E938" s="7">
        <f t="shared" si="44"/>
        <v>1</v>
      </c>
      <c r="F938" s="22" t="str">
        <f>IF(ISERROR(VLOOKUP($A938,#REF!,3,0)),"x",VLOOKUP($A938,#REF!,3,FALSE))</f>
        <v>x</v>
      </c>
      <c r="G938" s="9">
        <f t="shared" si="45"/>
        <v>1</v>
      </c>
      <c r="H938" s="13">
        <f t="shared" si="46"/>
        <v>1457.5</v>
      </c>
    </row>
    <row r="939" spans="1:8" x14ac:dyDescent="0.25">
      <c r="A939" s="2" t="str">
        <f>"IAND-32WW6AE"</f>
        <v>IAND-32WW6AE</v>
      </c>
      <c r="B939" s="2" t="str">
        <f>"7084AN3KN IANUS URBAN Mastleuchte, LED 32W, 3000K, asym. engstr., anthrazit"</f>
        <v>7084AN3KN IANUS URBAN Mastleuchte, LED 32W, 3000K, asym. engstr., anthrazit</v>
      </c>
      <c r="C939" s="16">
        <v>1457.5</v>
      </c>
      <c r="D939" s="11">
        <v>349</v>
      </c>
      <c r="E939" s="7">
        <f t="shared" si="44"/>
        <v>1</v>
      </c>
      <c r="F939" s="22" t="str">
        <f>IF(ISERROR(VLOOKUP($A939,#REF!,3,0)),"x",VLOOKUP($A939,#REF!,3,FALSE))</f>
        <v>x</v>
      </c>
      <c r="G939" s="9">
        <f t="shared" si="45"/>
        <v>1</v>
      </c>
      <c r="H939" s="13">
        <f t="shared" si="46"/>
        <v>1457.5</v>
      </c>
    </row>
    <row r="940" spans="1:8" x14ac:dyDescent="0.25">
      <c r="A940" s="2" t="str">
        <f>"IAND-32WW6AF"</f>
        <v>IAND-32WW6AF</v>
      </c>
      <c r="B940" s="2" t="str">
        <f>"7084AN3KW IANUS URBAN Mastleuchte, LED 32W, 3000K, asym. breitstr., anthrazit"</f>
        <v>7084AN3KW IANUS URBAN Mastleuchte, LED 32W, 3000K, asym. breitstr., anthrazit</v>
      </c>
      <c r="C940" s="16">
        <v>1457.5</v>
      </c>
      <c r="D940" s="11">
        <v>349</v>
      </c>
      <c r="E940" s="7">
        <f t="shared" si="44"/>
        <v>1</v>
      </c>
      <c r="F940" s="22" t="str">
        <f>IF(ISERROR(VLOOKUP($A940,#REF!,3,0)),"x",VLOOKUP($A940,#REF!,3,FALSE))</f>
        <v>x</v>
      </c>
      <c r="G940" s="9">
        <f t="shared" si="45"/>
        <v>1</v>
      </c>
      <c r="H940" s="13">
        <f t="shared" si="46"/>
        <v>1457.5</v>
      </c>
    </row>
    <row r="941" spans="1:8" x14ac:dyDescent="0.25">
      <c r="A941" s="2" t="str">
        <f>"IAND-32WW7AE"</f>
        <v>IAND-32WW7AE</v>
      </c>
      <c r="B941" s="2" t="str">
        <f>"7084AG3KN IANUS URBAN Mastleuchte, LED 32W, 3000K, asym. engstr., alugrau"</f>
        <v>7084AG3KN IANUS URBAN Mastleuchte, LED 32W, 3000K, asym. engstr., alugrau</v>
      </c>
      <c r="C941" s="16">
        <v>1457.5</v>
      </c>
      <c r="D941" s="11">
        <v>349</v>
      </c>
      <c r="E941" s="7">
        <f t="shared" si="44"/>
        <v>1</v>
      </c>
      <c r="F941" s="22" t="str">
        <f>IF(ISERROR(VLOOKUP($A941,#REF!,3,0)),"x",VLOOKUP($A941,#REF!,3,FALSE))</f>
        <v>x</v>
      </c>
      <c r="G941" s="9">
        <f t="shared" si="45"/>
        <v>1</v>
      </c>
      <c r="H941" s="13">
        <f t="shared" si="46"/>
        <v>1457.5</v>
      </c>
    </row>
    <row r="942" spans="1:8" x14ac:dyDescent="0.25">
      <c r="A942" s="2" t="str">
        <f>"IAND-32WW7AF"</f>
        <v>IAND-32WW7AF</v>
      </c>
      <c r="B942" s="2" t="str">
        <f>"7084AG3KW IANUS URBAN Mastleuchte, LED 32W, 3000K, asym. breitstr., alugrau"</f>
        <v>7084AG3KW IANUS URBAN Mastleuchte, LED 32W, 3000K, asym. breitstr., alugrau</v>
      </c>
      <c r="C942" s="16">
        <v>1457.5</v>
      </c>
      <c r="D942" s="11">
        <v>349</v>
      </c>
      <c r="E942" s="7">
        <f t="shared" si="44"/>
        <v>1</v>
      </c>
      <c r="F942" s="22" t="str">
        <f>IF(ISERROR(VLOOKUP($A942,#REF!,3,0)),"x",VLOOKUP($A942,#REF!,3,FALSE))</f>
        <v>x</v>
      </c>
      <c r="G942" s="9">
        <f t="shared" si="45"/>
        <v>1</v>
      </c>
      <c r="H942" s="13">
        <f t="shared" si="46"/>
        <v>1457.5</v>
      </c>
    </row>
    <row r="943" spans="1:8" x14ac:dyDescent="0.25">
      <c r="A943" s="2" t="str">
        <f>"IANF-16NW6AE"</f>
        <v>IANF-16NW6AE</v>
      </c>
      <c r="B943" s="2" t="str">
        <f>"7081AN4KN IANUS URBAN Mastleuchte, LED 16W, 4000K, 1 Lichtaustritt, anthrazit"</f>
        <v>7081AN4KN IANUS URBAN Mastleuchte, LED 16W, 4000K, 1 Lichtaustritt, anthrazit</v>
      </c>
      <c r="C943" s="16">
        <v>1412.5</v>
      </c>
      <c r="D943" s="11">
        <v>349</v>
      </c>
      <c r="E943" s="7">
        <f t="shared" si="44"/>
        <v>1</v>
      </c>
      <c r="F943" s="22" t="str">
        <f>IF(ISERROR(VLOOKUP($A943,#REF!,3,0)),"x",VLOOKUP($A943,#REF!,3,FALSE))</f>
        <v>x</v>
      </c>
      <c r="G943" s="9">
        <f t="shared" si="45"/>
        <v>1</v>
      </c>
      <c r="H943" s="13">
        <f t="shared" si="46"/>
        <v>1412.5</v>
      </c>
    </row>
    <row r="944" spans="1:8" x14ac:dyDescent="0.25">
      <c r="A944" s="2" t="str">
        <f>"IANF-16NW6AF"</f>
        <v>IANF-16NW6AF</v>
      </c>
      <c r="B944" s="2" t="str">
        <f>"7081AN4KW IANUS URBAN Mastleuchte, LED 16W, 4000K, 1 Lichtaustritt, anthrazit"</f>
        <v>7081AN4KW IANUS URBAN Mastleuchte, LED 16W, 4000K, 1 Lichtaustritt, anthrazit</v>
      </c>
      <c r="C944" s="16">
        <v>1412.5</v>
      </c>
      <c r="D944" s="11">
        <v>349</v>
      </c>
      <c r="E944" s="7">
        <f t="shared" si="44"/>
        <v>1</v>
      </c>
      <c r="F944" s="22" t="str">
        <f>IF(ISERROR(VLOOKUP($A944,#REF!,3,0)),"x",VLOOKUP($A944,#REF!,3,FALSE))</f>
        <v>x</v>
      </c>
      <c r="G944" s="9">
        <f t="shared" si="45"/>
        <v>1</v>
      </c>
      <c r="H944" s="13">
        <f t="shared" si="46"/>
        <v>1412.5</v>
      </c>
    </row>
    <row r="945" spans="1:8" x14ac:dyDescent="0.25">
      <c r="A945" s="2" t="str">
        <f>"IANF-16NW7AE"</f>
        <v>IANF-16NW7AE</v>
      </c>
      <c r="B945" s="2" t="str">
        <f>"7081AG4KN IANUS URBAN Mastleuchte, LED 16W, 4000K, 1 Lichtaustritt, alugrau"</f>
        <v>7081AG4KN IANUS URBAN Mastleuchte, LED 16W, 4000K, 1 Lichtaustritt, alugrau</v>
      </c>
      <c r="C945" s="16">
        <v>1412.5</v>
      </c>
      <c r="D945" s="11">
        <v>349</v>
      </c>
      <c r="E945" s="7">
        <f t="shared" si="44"/>
        <v>1</v>
      </c>
      <c r="F945" s="22" t="str">
        <f>IF(ISERROR(VLOOKUP($A945,#REF!,3,0)),"x",VLOOKUP($A945,#REF!,3,FALSE))</f>
        <v>x</v>
      </c>
      <c r="G945" s="9">
        <f t="shared" si="45"/>
        <v>1</v>
      </c>
      <c r="H945" s="13">
        <f t="shared" si="46"/>
        <v>1412.5</v>
      </c>
    </row>
    <row r="946" spans="1:8" x14ac:dyDescent="0.25">
      <c r="A946" s="2" t="str">
        <f>"IANF-16NW7AF"</f>
        <v>IANF-16NW7AF</v>
      </c>
      <c r="B946" s="2" t="str">
        <f>"7081AG4KW IANUS URBAN Mastleuchte, LED 16W, 4000K, 1 Lichtaustritt, alugrau"</f>
        <v>7081AG4KW IANUS URBAN Mastleuchte, LED 16W, 4000K, 1 Lichtaustritt, alugrau</v>
      </c>
      <c r="C946" s="16">
        <v>1412.5</v>
      </c>
      <c r="D946" s="11">
        <v>349</v>
      </c>
      <c r="E946" s="7">
        <f t="shared" si="44"/>
        <v>1</v>
      </c>
      <c r="F946" s="22" t="str">
        <f>IF(ISERROR(VLOOKUP($A946,#REF!,3,0)),"x",VLOOKUP($A946,#REF!,3,FALSE))</f>
        <v>x</v>
      </c>
      <c r="G946" s="9">
        <f t="shared" si="45"/>
        <v>1</v>
      </c>
      <c r="H946" s="13">
        <f t="shared" si="46"/>
        <v>1412.5</v>
      </c>
    </row>
    <row r="947" spans="1:8" x14ac:dyDescent="0.25">
      <c r="A947" s="2" t="str">
        <f>"IANF-16WW6AE"</f>
        <v>IANF-16WW6AE</v>
      </c>
      <c r="B947" s="2" t="str">
        <f>"7081AN3KN IANUS URBAN Mastleuchte, LED 16W, 3000K, 1 Lichtaustritt, anthrazit"</f>
        <v>7081AN3KN IANUS URBAN Mastleuchte, LED 16W, 3000K, 1 Lichtaustritt, anthrazit</v>
      </c>
      <c r="C947" s="16">
        <v>1412.5</v>
      </c>
      <c r="D947" s="11">
        <v>349</v>
      </c>
      <c r="E947" s="7">
        <f t="shared" si="44"/>
        <v>1</v>
      </c>
      <c r="F947" s="22" t="str">
        <f>IF(ISERROR(VLOOKUP($A947,#REF!,3,0)),"x",VLOOKUP($A947,#REF!,3,FALSE))</f>
        <v>x</v>
      </c>
      <c r="G947" s="9">
        <f t="shared" si="45"/>
        <v>1</v>
      </c>
      <c r="H947" s="13">
        <f t="shared" si="46"/>
        <v>1412.5</v>
      </c>
    </row>
    <row r="948" spans="1:8" x14ac:dyDescent="0.25">
      <c r="A948" s="2" t="str">
        <f>"IANF-16WW6AF"</f>
        <v>IANF-16WW6AF</v>
      </c>
      <c r="B948" s="2" t="str">
        <f>"7081AN3KW IANUS URBAN Mastleuchte, LED 16W, 3000K, 1 Lichtaustritt, anthrazit"</f>
        <v>7081AN3KW IANUS URBAN Mastleuchte, LED 16W, 3000K, 1 Lichtaustritt, anthrazit</v>
      </c>
      <c r="C948" s="16">
        <v>1412.5</v>
      </c>
      <c r="D948" s="11">
        <v>349</v>
      </c>
      <c r="E948" s="7">
        <f t="shared" si="44"/>
        <v>1</v>
      </c>
      <c r="F948" s="22" t="str">
        <f>IF(ISERROR(VLOOKUP($A948,#REF!,3,0)),"x",VLOOKUP($A948,#REF!,3,FALSE))</f>
        <v>x</v>
      </c>
      <c r="G948" s="9">
        <f t="shared" si="45"/>
        <v>1</v>
      </c>
      <c r="H948" s="13">
        <f t="shared" si="46"/>
        <v>1412.5</v>
      </c>
    </row>
    <row r="949" spans="1:8" x14ac:dyDescent="0.25">
      <c r="A949" s="2" t="str">
        <f>"IANF-16WW7AE"</f>
        <v>IANF-16WW7AE</v>
      </c>
      <c r="B949" s="2" t="str">
        <f>"7081AG3KN IANUS URBAN Mastleuchte, LED 16W, 3000K, 1 Lichtaustritt, alugrau"</f>
        <v>7081AG3KN IANUS URBAN Mastleuchte, LED 16W, 3000K, 1 Lichtaustritt, alugrau</v>
      </c>
      <c r="C949" s="16">
        <v>1412.5</v>
      </c>
      <c r="D949" s="11">
        <v>349</v>
      </c>
      <c r="E949" s="7">
        <f t="shared" si="44"/>
        <v>1</v>
      </c>
      <c r="F949" s="22" t="str">
        <f>IF(ISERROR(VLOOKUP($A949,#REF!,3,0)),"x",VLOOKUP($A949,#REF!,3,FALSE))</f>
        <v>x</v>
      </c>
      <c r="G949" s="9">
        <f t="shared" si="45"/>
        <v>1</v>
      </c>
      <c r="H949" s="13">
        <f t="shared" si="46"/>
        <v>1412.5</v>
      </c>
    </row>
    <row r="950" spans="1:8" x14ac:dyDescent="0.25">
      <c r="A950" s="2" t="str">
        <f>"IANF-16WW7AF"</f>
        <v>IANF-16WW7AF</v>
      </c>
      <c r="B950" s="2" t="str">
        <f>"7081AG3KW IANUS URBAN Mastleuchte, LED 16W, 3000K, 1 Lichtaustritt, alugrau"</f>
        <v>7081AG3KW IANUS URBAN Mastleuchte, LED 16W, 3000K, 1 Lichtaustritt, alugrau</v>
      </c>
      <c r="C950" s="16">
        <v>1412.5</v>
      </c>
      <c r="D950" s="11">
        <v>349</v>
      </c>
      <c r="E950" s="7">
        <f t="shared" si="44"/>
        <v>1</v>
      </c>
      <c r="F950" s="22" t="str">
        <f>IF(ISERROR(VLOOKUP($A950,#REF!,3,0)),"x",VLOOKUP($A950,#REF!,3,FALSE))</f>
        <v>x</v>
      </c>
      <c r="G950" s="9">
        <f t="shared" si="45"/>
        <v>1</v>
      </c>
      <c r="H950" s="13">
        <f t="shared" si="46"/>
        <v>1412.5</v>
      </c>
    </row>
    <row r="951" spans="1:8" x14ac:dyDescent="0.25">
      <c r="A951" s="2" t="str">
        <f>"IANF-32NW6AE"</f>
        <v>IANF-32NW6AE</v>
      </c>
      <c r="B951" s="2" t="str">
        <f>"7082AN4KN IANUS URBAN Mastleuchte, LED 32W, 4000K, asym. engstrahlend, anthrazit"</f>
        <v>7082AN4KN IANUS URBAN Mastleuchte, LED 32W, 4000K, asym. engstrahlend, anthrazit</v>
      </c>
      <c r="C951" s="16">
        <v>1480</v>
      </c>
      <c r="D951" s="11">
        <v>349</v>
      </c>
      <c r="E951" s="7">
        <f t="shared" si="44"/>
        <v>1</v>
      </c>
      <c r="F951" s="22" t="str">
        <f>IF(ISERROR(VLOOKUP($A951,#REF!,3,0)),"x",VLOOKUP($A951,#REF!,3,FALSE))</f>
        <v>x</v>
      </c>
      <c r="G951" s="9">
        <f t="shared" si="45"/>
        <v>1</v>
      </c>
      <c r="H951" s="13">
        <f t="shared" si="46"/>
        <v>1480</v>
      </c>
    </row>
    <row r="952" spans="1:8" x14ac:dyDescent="0.25">
      <c r="A952" s="2" t="str">
        <f>"IANF-32NW6AF"</f>
        <v>IANF-32NW6AF</v>
      </c>
      <c r="B952" s="2" t="str">
        <f>"7082AN4KW IANUS URBAN Mastleuchte, LED 32W, 4000K, asym. breitst., anthrazit"</f>
        <v>7082AN4KW IANUS URBAN Mastleuchte, LED 32W, 4000K, asym. breitst., anthrazit</v>
      </c>
      <c r="C952" s="16">
        <v>1480</v>
      </c>
      <c r="D952" s="11">
        <v>349</v>
      </c>
      <c r="E952" s="7">
        <f t="shared" si="44"/>
        <v>1</v>
      </c>
      <c r="F952" s="22" t="str">
        <f>IF(ISERROR(VLOOKUP($A952,#REF!,3,0)),"x",VLOOKUP($A952,#REF!,3,FALSE))</f>
        <v>x</v>
      </c>
      <c r="G952" s="9">
        <f t="shared" si="45"/>
        <v>1</v>
      </c>
      <c r="H952" s="13">
        <f t="shared" si="46"/>
        <v>1480</v>
      </c>
    </row>
    <row r="953" spans="1:8" x14ac:dyDescent="0.25">
      <c r="A953" s="2" t="str">
        <f>"IANF-32NW7AE"</f>
        <v>IANF-32NW7AE</v>
      </c>
      <c r="B953" s="2" t="str">
        <f>"7082AG4KN IANUS URBAN Mastleuchte, LED 32W, 4000K, asym. engstrahlend, alugrau"</f>
        <v>7082AG4KN IANUS URBAN Mastleuchte, LED 32W, 4000K, asym. engstrahlend, alugrau</v>
      </c>
      <c r="C953" s="16">
        <v>1480</v>
      </c>
      <c r="D953" s="11">
        <v>349</v>
      </c>
      <c r="E953" s="7">
        <f t="shared" si="44"/>
        <v>1</v>
      </c>
      <c r="F953" s="22" t="str">
        <f>IF(ISERROR(VLOOKUP($A953,#REF!,3,0)),"x",VLOOKUP($A953,#REF!,3,FALSE))</f>
        <v>x</v>
      </c>
      <c r="G953" s="9">
        <f t="shared" si="45"/>
        <v>1</v>
      </c>
      <c r="H953" s="13">
        <f t="shared" si="46"/>
        <v>1480</v>
      </c>
    </row>
    <row r="954" spans="1:8" x14ac:dyDescent="0.25">
      <c r="A954" s="2" t="str">
        <f>"IANF-32NW7AF"</f>
        <v>IANF-32NW7AF</v>
      </c>
      <c r="B954" s="2" t="str">
        <f>"7082AG4KW IANUS URBAN Mastleuchte, LED 32W, 4000K, asym. breitstrahlend, alugrau"</f>
        <v>7082AG4KW IANUS URBAN Mastleuchte, LED 32W, 4000K, asym. breitstrahlend, alugrau</v>
      </c>
      <c r="C954" s="16">
        <v>1480</v>
      </c>
      <c r="D954" s="11">
        <v>349</v>
      </c>
      <c r="E954" s="7">
        <f t="shared" si="44"/>
        <v>1</v>
      </c>
      <c r="F954" s="22" t="str">
        <f>IF(ISERROR(VLOOKUP($A954,#REF!,3,0)),"x",VLOOKUP($A954,#REF!,3,FALSE))</f>
        <v>x</v>
      </c>
      <c r="G954" s="9">
        <f t="shared" si="45"/>
        <v>1</v>
      </c>
      <c r="H954" s="13">
        <f t="shared" si="46"/>
        <v>1480</v>
      </c>
    </row>
    <row r="955" spans="1:8" x14ac:dyDescent="0.25">
      <c r="A955" s="2" t="str">
        <f>"IANF-32WW6AE"</f>
        <v>IANF-32WW6AE</v>
      </c>
      <c r="B955" s="2" t="str">
        <f>"7082AN3KN IANUS URBAN Mastleuchte, LED 32W, 3000K, asym. engstrahlend, anthrazit"</f>
        <v>7082AN3KN IANUS URBAN Mastleuchte, LED 32W, 3000K, asym. engstrahlend, anthrazit</v>
      </c>
      <c r="C955" s="16">
        <v>1480</v>
      </c>
      <c r="D955" s="11">
        <v>349</v>
      </c>
      <c r="E955" s="7">
        <f t="shared" si="44"/>
        <v>1</v>
      </c>
      <c r="F955" s="22" t="str">
        <f>IF(ISERROR(VLOOKUP($A955,#REF!,3,0)),"x",VLOOKUP($A955,#REF!,3,FALSE))</f>
        <v>x</v>
      </c>
      <c r="G955" s="9">
        <f t="shared" si="45"/>
        <v>1</v>
      </c>
      <c r="H955" s="13">
        <f t="shared" si="46"/>
        <v>1480</v>
      </c>
    </row>
    <row r="956" spans="1:8" x14ac:dyDescent="0.25">
      <c r="A956" s="2" t="str">
        <f>"IANF-32WW6AF"</f>
        <v>IANF-32WW6AF</v>
      </c>
      <c r="B956" s="2" t="str">
        <f>"7082AN3KW IANUS URBAN Mastleuchte, LED 32W, 3000K, asym. breitstr., anthrazit"</f>
        <v>7082AN3KW IANUS URBAN Mastleuchte, LED 32W, 3000K, asym. breitstr., anthrazit</v>
      </c>
      <c r="C956" s="16">
        <v>1480</v>
      </c>
      <c r="D956" s="11">
        <v>349</v>
      </c>
      <c r="E956" s="7">
        <f t="shared" si="44"/>
        <v>1</v>
      </c>
      <c r="F956" s="22" t="str">
        <f>IF(ISERROR(VLOOKUP($A956,#REF!,3,0)),"x",VLOOKUP($A956,#REF!,3,FALSE))</f>
        <v>x</v>
      </c>
      <c r="G956" s="9">
        <f t="shared" si="45"/>
        <v>1</v>
      </c>
      <c r="H956" s="13">
        <f t="shared" si="46"/>
        <v>1480</v>
      </c>
    </row>
    <row r="957" spans="1:8" x14ac:dyDescent="0.25">
      <c r="A957" s="2" t="str">
        <f>"IANF-32WW7AE"</f>
        <v>IANF-32WW7AE</v>
      </c>
      <c r="B957" s="2" t="str">
        <f>"7082AG3KN IANUS URBAN Mastleuchte, LED 32W, 3000K, asym. engstrahlend, alugrau"</f>
        <v>7082AG3KN IANUS URBAN Mastleuchte, LED 32W, 3000K, asym. engstrahlend, alugrau</v>
      </c>
      <c r="C957" s="16">
        <v>1480</v>
      </c>
      <c r="D957" s="11">
        <v>349</v>
      </c>
      <c r="E957" s="7">
        <f t="shared" si="44"/>
        <v>1</v>
      </c>
      <c r="F957" s="22" t="str">
        <f>IF(ISERROR(VLOOKUP($A957,#REF!,3,0)),"x",VLOOKUP($A957,#REF!,3,FALSE))</f>
        <v>x</v>
      </c>
      <c r="G957" s="9">
        <f t="shared" si="45"/>
        <v>1</v>
      </c>
      <c r="H957" s="13">
        <f t="shared" si="46"/>
        <v>1480</v>
      </c>
    </row>
    <row r="958" spans="1:8" x14ac:dyDescent="0.25">
      <c r="A958" s="2" t="str">
        <f>"IANF-32WW7AF"</f>
        <v>IANF-32WW7AF</v>
      </c>
      <c r="B958" s="2" t="str">
        <f>"7082AG3KW IANUS URBAN Mastleuchte, LED 32W, 3000K, asym. breitstrahlend, alugrau"</f>
        <v>7082AG3KW IANUS URBAN Mastleuchte, LED 32W, 3000K, asym. breitstrahlend, alugrau</v>
      </c>
      <c r="C958" s="16">
        <v>1480</v>
      </c>
      <c r="D958" s="11">
        <v>349</v>
      </c>
      <c r="E958" s="7">
        <f t="shared" si="44"/>
        <v>1</v>
      </c>
      <c r="F958" s="22" t="str">
        <f>IF(ISERROR(VLOOKUP($A958,#REF!,3,0)),"x",VLOOKUP($A958,#REF!,3,FALSE))</f>
        <v>x</v>
      </c>
      <c r="G958" s="9">
        <f t="shared" si="45"/>
        <v>1</v>
      </c>
      <c r="H958" s="13">
        <f t="shared" si="46"/>
        <v>1480</v>
      </c>
    </row>
    <row r="959" spans="1:8" x14ac:dyDescent="0.25">
      <c r="A959" s="2" t="str">
        <f>"IHN-10007W"</f>
        <v>IHN-10007W</v>
      </c>
      <c r="B959" s="2" t="str">
        <f>"IHN Pendeldownlight, AGL max.30W E27, Glas zyl. weiß/opal, 1,5m Kabell. trans."</f>
        <v>IHN Pendeldownlight, AGL max.30W E27, Glas zyl. weiß/opal, 1,5m Kabell. trans.</v>
      </c>
      <c r="C959" s="16">
        <v>179.75</v>
      </c>
      <c r="D959" s="11">
        <v>161</v>
      </c>
      <c r="E959" s="7">
        <f t="shared" si="44"/>
        <v>1</v>
      </c>
      <c r="F959" s="22" t="str">
        <f>IF(ISERROR(VLOOKUP($A959,#REF!,3,0)),"x",VLOOKUP($A959,#REF!,3,FALSE))</f>
        <v>x</v>
      </c>
      <c r="G959" s="9">
        <f t="shared" si="45"/>
        <v>1</v>
      </c>
      <c r="H959" s="13">
        <f t="shared" si="46"/>
        <v>179.75</v>
      </c>
    </row>
    <row r="960" spans="1:8" x14ac:dyDescent="0.25">
      <c r="A960" s="2" t="str">
        <f>"IHN-10017W"</f>
        <v>IHN-10017W</v>
      </c>
      <c r="B960" s="2" t="str">
        <f>"IHN Pendeldownlight, AGL max.30W E27, Glas zyl. weiß/opal, 1,5m Kabell. trans."</f>
        <v>IHN Pendeldownlight, AGL max.30W E27, Glas zyl. weiß/opal, 1,5m Kabell. trans.</v>
      </c>
      <c r="C960" s="16">
        <v>192.25</v>
      </c>
      <c r="D960" s="11">
        <v>161</v>
      </c>
      <c r="E960" s="7">
        <f t="shared" si="44"/>
        <v>1</v>
      </c>
      <c r="F960" s="22" t="str">
        <f>IF(ISERROR(VLOOKUP($A960,#REF!,3,0)),"x",VLOOKUP($A960,#REF!,3,FALSE))</f>
        <v>x</v>
      </c>
      <c r="G960" s="9">
        <f t="shared" si="45"/>
        <v>1</v>
      </c>
      <c r="H960" s="13">
        <f t="shared" si="46"/>
        <v>192.25</v>
      </c>
    </row>
    <row r="961" spans="1:8" x14ac:dyDescent="0.25">
      <c r="A961" s="2" t="str">
        <f>"IHN-11007W"</f>
        <v>IHN-11007W</v>
      </c>
      <c r="B961" s="2" t="str">
        <f>"IHN Pendeldownlight, AGL max.30W E27, Glas weiß/opal, 1,5m Kabell. trans."</f>
        <v>IHN Pendeldownlight, AGL max.30W E27, Glas weiß/opal, 1,5m Kabell. trans.</v>
      </c>
      <c r="C961" s="16">
        <v>179.75</v>
      </c>
      <c r="D961" s="11">
        <v>161</v>
      </c>
      <c r="E961" s="7">
        <f t="shared" si="44"/>
        <v>1</v>
      </c>
      <c r="F961" s="22" t="str">
        <f>IF(ISERROR(VLOOKUP($A961,#REF!,3,0)),"x",VLOOKUP($A961,#REF!,3,FALSE))</f>
        <v>x</v>
      </c>
      <c r="G961" s="9">
        <f t="shared" si="45"/>
        <v>1</v>
      </c>
      <c r="H961" s="13">
        <f t="shared" si="46"/>
        <v>179.75</v>
      </c>
    </row>
    <row r="962" spans="1:8" x14ac:dyDescent="0.25">
      <c r="A962" s="2" t="str">
        <f>"IHN-11017W"</f>
        <v>IHN-11017W</v>
      </c>
      <c r="B962" s="2" t="str">
        <f>"IHN Pendeldownlight, AGL max.30W E27, Glas weiß/opal, 1,5m Kabell. trans."</f>
        <v>IHN Pendeldownlight, AGL max.30W E27, Glas weiß/opal, 1,5m Kabell. trans.</v>
      </c>
      <c r="C962" s="16">
        <v>192.25</v>
      </c>
      <c r="D962" s="11">
        <v>161</v>
      </c>
      <c r="E962" s="7">
        <f t="shared" si="44"/>
        <v>1</v>
      </c>
      <c r="F962" s="22" t="str">
        <f>IF(ISERROR(VLOOKUP($A962,#REF!,3,0)),"x",VLOOKUP($A962,#REF!,3,FALSE))</f>
        <v>x</v>
      </c>
      <c r="G962" s="9">
        <f t="shared" si="45"/>
        <v>1</v>
      </c>
      <c r="H962" s="13">
        <f t="shared" si="46"/>
        <v>192.25</v>
      </c>
    </row>
    <row r="963" spans="1:8" x14ac:dyDescent="0.25">
      <c r="A963" s="2" t="str">
        <f>"IHN-12007W"</f>
        <v>IHN-12007W</v>
      </c>
      <c r="B963" s="2" t="str">
        <f>"IHN Pendeldownlight, AGL max.30W E27, Glas weiß/opal, 1,5m Kabell. trans."</f>
        <v>IHN Pendeldownlight, AGL max.30W E27, Glas weiß/opal, 1,5m Kabell. trans.</v>
      </c>
      <c r="C963" s="16">
        <v>179.75</v>
      </c>
      <c r="D963" s="11">
        <v>161</v>
      </c>
      <c r="E963" s="7">
        <f t="shared" ref="E963:E1026" si="47">G963</f>
        <v>1</v>
      </c>
      <c r="F963" s="22" t="str">
        <f>IF(ISERROR(VLOOKUP($A963,#REF!,3,0)),"x",VLOOKUP($A963,#REF!,3,FALSE))</f>
        <v>x</v>
      </c>
      <c r="G963" s="9">
        <f t="shared" ref="G963:G1026" si="48">IF(C963&lt;F963,1,IF(C963&gt;F963,-1,0))</f>
        <v>1</v>
      </c>
      <c r="H963" s="13">
        <f t="shared" si="46"/>
        <v>179.75</v>
      </c>
    </row>
    <row r="964" spans="1:8" x14ac:dyDescent="0.25">
      <c r="A964" s="2" t="str">
        <f>"IHN-12017W"</f>
        <v>IHN-12017W</v>
      </c>
      <c r="B964" s="2" t="str">
        <f>"IHN Pendeldownlight, AGL max.30W E27, Glas weißopal, 1,5m Kabell. trans., 3~Adap"</f>
        <v>IHN Pendeldownlight, AGL max.30W E27, Glas weißopal, 1,5m Kabell. trans., 3~Adap</v>
      </c>
      <c r="C964" s="16">
        <v>192.25</v>
      </c>
      <c r="D964" s="11">
        <v>161</v>
      </c>
      <c r="E964" s="7">
        <f t="shared" si="47"/>
        <v>1</v>
      </c>
      <c r="F964" s="22" t="str">
        <f>IF(ISERROR(VLOOKUP($A964,#REF!,3,0)),"x",VLOOKUP($A964,#REF!,3,FALSE))</f>
        <v>x</v>
      </c>
      <c r="G964" s="9">
        <f t="shared" si="48"/>
        <v>1</v>
      </c>
      <c r="H964" s="13">
        <f t="shared" si="46"/>
        <v>192.25</v>
      </c>
    </row>
    <row r="965" spans="1:8" x14ac:dyDescent="0.25">
      <c r="A965" s="2" t="str">
        <f>"IHN-13007W"</f>
        <v>IHN-13007W</v>
      </c>
      <c r="B965" s="2" t="str">
        <f>"IHN Pendeldownlight, AGL max.30W E27, Glas weiß/opal, 1,5m Kabell. trans."</f>
        <v>IHN Pendeldownlight, AGL max.30W E27, Glas weiß/opal, 1,5m Kabell. trans.</v>
      </c>
      <c r="C965" s="16">
        <v>179.75</v>
      </c>
      <c r="D965" s="11">
        <v>161</v>
      </c>
      <c r="E965" s="7">
        <f t="shared" si="47"/>
        <v>1</v>
      </c>
      <c r="F965" s="22" t="str">
        <f>IF(ISERROR(VLOOKUP($A965,#REF!,3,0)),"x",VLOOKUP($A965,#REF!,3,FALSE))</f>
        <v>x</v>
      </c>
      <c r="G965" s="9">
        <f t="shared" si="48"/>
        <v>1</v>
      </c>
      <c r="H965" s="13">
        <f t="shared" ref="H965:H1028" si="49">IF(F965="x",C965,F965)</f>
        <v>179.75</v>
      </c>
    </row>
    <row r="966" spans="1:8" x14ac:dyDescent="0.25">
      <c r="A966" s="2" t="str">
        <f>"IHN-13017W"</f>
        <v>IHN-13017W</v>
      </c>
      <c r="B966" s="2" t="str">
        <f>"IHN Pendeldownlight, AGL max.30W E27, Glas weißopal, 1,5m Kabell. trans., 3~Adap"</f>
        <v>IHN Pendeldownlight, AGL max.30W E27, Glas weißopal, 1,5m Kabell. trans., 3~Adap</v>
      </c>
      <c r="C966" s="16">
        <v>192.25</v>
      </c>
      <c r="D966" s="11">
        <v>161</v>
      </c>
      <c r="E966" s="7">
        <f t="shared" si="47"/>
        <v>1</v>
      </c>
      <c r="F966" s="22" t="str">
        <f>IF(ISERROR(VLOOKUP($A966,#REF!,3,0)),"x",VLOOKUP($A966,#REF!,3,FALSE))</f>
        <v>x</v>
      </c>
      <c r="G966" s="9">
        <f t="shared" si="48"/>
        <v>1</v>
      </c>
      <c r="H966" s="13">
        <f t="shared" si="49"/>
        <v>192.25</v>
      </c>
    </row>
    <row r="967" spans="1:8" x14ac:dyDescent="0.25">
      <c r="A967" s="2" t="str">
        <f>"IHN-14007W"</f>
        <v>IHN-14007W</v>
      </c>
      <c r="B967" s="2" t="str">
        <f>"IHN Pendeldownlight, AGL max.30W E27, Glas weiß/opal, 1,5m Kabell. trans."</f>
        <v>IHN Pendeldownlight, AGL max.30W E27, Glas weiß/opal, 1,5m Kabell. trans.</v>
      </c>
      <c r="C967" s="16">
        <v>179.75</v>
      </c>
      <c r="D967" s="11">
        <v>161</v>
      </c>
      <c r="E967" s="7">
        <f t="shared" si="47"/>
        <v>1</v>
      </c>
      <c r="F967" s="22" t="str">
        <f>IF(ISERROR(VLOOKUP($A967,#REF!,3,0)),"x",VLOOKUP($A967,#REF!,3,FALSE))</f>
        <v>x</v>
      </c>
      <c r="G967" s="9">
        <f t="shared" si="48"/>
        <v>1</v>
      </c>
      <c r="H967" s="13">
        <f t="shared" si="49"/>
        <v>179.75</v>
      </c>
    </row>
    <row r="968" spans="1:8" x14ac:dyDescent="0.25">
      <c r="A968" s="2" t="str">
        <f>"IHN-14017W"</f>
        <v>IHN-14017W</v>
      </c>
      <c r="B968" s="2" t="str">
        <f>"IHN Pendeldownlight, AGL max.30W E27, Glas weißopal, 1,5m Kabell. trans., 3~Adap"</f>
        <v>IHN Pendeldownlight, AGL max.30W E27, Glas weißopal, 1,5m Kabell. trans., 3~Adap</v>
      </c>
      <c r="C968" s="16">
        <v>192.25</v>
      </c>
      <c r="D968" s="11">
        <v>161</v>
      </c>
      <c r="E968" s="7">
        <f t="shared" si="47"/>
        <v>1</v>
      </c>
      <c r="F968" s="22" t="str">
        <f>IF(ISERROR(VLOOKUP($A968,#REF!,3,0)),"x",VLOOKUP($A968,#REF!,3,FALSE))</f>
        <v>x</v>
      </c>
      <c r="G968" s="9">
        <f t="shared" si="48"/>
        <v>1</v>
      </c>
      <c r="H968" s="13">
        <f t="shared" si="49"/>
        <v>192.25</v>
      </c>
    </row>
    <row r="969" spans="1:8" x14ac:dyDescent="0.25">
      <c r="A969" s="2" t="str">
        <f>"IVI-230WW11F"</f>
        <v>IVI-230WW11F</v>
      </c>
      <c r="B969" s="2" t="str">
        <f>"IVINA Schienenstrahler, CoB LED, 56W, 40°, 3000K, Gehäuse weiß"</f>
        <v>IVINA Schienenstrahler, CoB LED, 56W, 40°, 3000K, Gehäuse weiß</v>
      </c>
      <c r="C969" s="16">
        <v>247.5</v>
      </c>
      <c r="D969" s="11">
        <v>43</v>
      </c>
      <c r="E969" s="7">
        <f t="shared" si="47"/>
        <v>1</v>
      </c>
      <c r="F969" s="22" t="str">
        <f>IF(ISERROR(VLOOKUP($A969,#REF!,3,0)),"x",VLOOKUP($A969,#REF!,3,FALSE))</f>
        <v>x</v>
      </c>
      <c r="G969" s="9">
        <f t="shared" si="48"/>
        <v>1</v>
      </c>
      <c r="H969" s="13">
        <f t="shared" si="49"/>
        <v>247.5</v>
      </c>
    </row>
    <row r="970" spans="1:8" x14ac:dyDescent="0.25">
      <c r="A970" s="2" t="str">
        <f>"K3-18NW1B"</f>
        <v>K3-18NW1B</v>
      </c>
      <c r="B970" s="2" t="str">
        <f>"1142BI4K K3 Power, LED 18W 50° 4000K weiß"</f>
        <v>1142BI4K K3 Power, LED 18W 50° 4000K weiß</v>
      </c>
      <c r="C970" s="16">
        <v>612.5</v>
      </c>
      <c r="D970" s="11">
        <v>277</v>
      </c>
      <c r="E970" s="7">
        <f t="shared" si="47"/>
        <v>1</v>
      </c>
      <c r="F970" s="22" t="str">
        <f>IF(ISERROR(VLOOKUP($A970,#REF!,3,0)),"x",VLOOKUP($A970,#REF!,3,FALSE))</f>
        <v>x</v>
      </c>
      <c r="G970" s="9">
        <f t="shared" si="48"/>
        <v>1</v>
      </c>
      <c r="H970" s="13">
        <f t="shared" si="49"/>
        <v>612.5</v>
      </c>
    </row>
    <row r="971" spans="1:8" x14ac:dyDescent="0.25">
      <c r="A971" s="2" t="str">
        <f>"K3-18NW1E"</f>
        <v>K3-18NW1E</v>
      </c>
      <c r="B971" s="2" t="str">
        <f>"1141BI4K K3 Power, LED 18W 20° 4000K weiß"</f>
        <v>1141BI4K K3 Power, LED 18W 20° 4000K weiß</v>
      </c>
      <c r="C971" s="16">
        <v>612.5</v>
      </c>
      <c r="D971" s="11">
        <v>277</v>
      </c>
      <c r="E971" s="7">
        <f t="shared" si="47"/>
        <v>1</v>
      </c>
      <c r="F971" s="22" t="str">
        <f>IF(ISERROR(VLOOKUP($A971,#REF!,3,0)),"x",VLOOKUP($A971,#REF!,3,FALSE))</f>
        <v>x</v>
      </c>
      <c r="G971" s="9">
        <f t="shared" si="48"/>
        <v>1</v>
      </c>
      <c r="H971" s="13">
        <f t="shared" si="49"/>
        <v>612.5</v>
      </c>
    </row>
    <row r="972" spans="1:8" x14ac:dyDescent="0.25">
      <c r="A972" s="2" t="str">
        <f>"K3-18NW6B"</f>
        <v>K3-18NW6B</v>
      </c>
      <c r="B972" s="2" t="str">
        <f>"1142AN4K K3 Power, LED 18W 50° 4000K Anthrazit"</f>
        <v>1142AN4K K3 Power, LED 18W 50° 4000K Anthrazit</v>
      </c>
      <c r="C972" s="16">
        <v>612.5</v>
      </c>
      <c r="D972" s="11">
        <v>277</v>
      </c>
      <c r="E972" s="7">
        <f t="shared" si="47"/>
        <v>1</v>
      </c>
      <c r="F972" s="22" t="str">
        <f>IF(ISERROR(VLOOKUP($A972,#REF!,3,0)),"x",VLOOKUP($A972,#REF!,3,FALSE))</f>
        <v>x</v>
      </c>
      <c r="G972" s="9">
        <f t="shared" si="48"/>
        <v>1</v>
      </c>
      <c r="H972" s="13">
        <f t="shared" si="49"/>
        <v>612.5</v>
      </c>
    </row>
    <row r="973" spans="1:8" x14ac:dyDescent="0.25">
      <c r="A973" s="2" t="str">
        <f>"K3-18NW6E"</f>
        <v>K3-18NW6E</v>
      </c>
      <c r="B973" s="2" t="str">
        <f>"114AN4K K3 Power, LED 18W 20° 4000K Anthrazit "</f>
        <v xml:space="preserve">114AN4K K3 Power, LED 18W 20° 4000K Anthrazit </v>
      </c>
      <c r="C973" s="16">
        <v>612.5</v>
      </c>
      <c r="D973" s="11">
        <v>277</v>
      </c>
      <c r="E973" s="7">
        <f t="shared" si="47"/>
        <v>1</v>
      </c>
      <c r="F973" s="22" t="str">
        <f>IF(ISERROR(VLOOKUP($A973,#REF!,3,0)),"x",VLOOKUP($A973,#REF!,3,FALSE))</f>
        <v>x</v>
      </c>
      <c r="G973" s="9">
        <f t="shared" si="48"/>
        <v>1</v>
      </c>
      <c r="H973" s="13">
        <f t="shared" si="49"/>
        <v>612.5</v>
      </c>
    </row>
    <row r="974" spans="1:8" x14ac:dyDescent="0.25">
      <c r="A974" s="2" t="str">
        <f>"K3-18NW7B"</f>
        <v>K3-18NW7B</v>
      </c>
      <c r="B974" s="2" t="str">
        <f>"1142AG4K K3 Power, LED 18W 50° 4000K Aluminiumgrau "</f>
        <v xml:space="preserve">1142AG4K K3 Power, LED 18W 50° 4000K Aluminiumgrau </v>
      </c>
      <c r="C974" s="16">
        <v>612.5</v>
      </c>
      <c r="D974" s="11">
        <v>277</v>
      </c>
      <c r="E974" s="7">
        <f t="shared" si="47"/>
        <v>1</v>
      </c>
      <c r="F974" s="22" t="str">
        <f>IF(ISERROR(VLOOKUP($A974,#REF!,3,0)),"x",VLOOKUP($A974,#REF!,3,FALSE))</f>
        <v>x</v>
      </c>
      <c r="G974" s="9">
        <f t="shared" si="48"/>
        <v>1</v>
      </c>
      <c r="H974" s="13">
        <f t="shared" si="49"/>
        <v>612.5</v>
      </c>
    </row>
    <row r="975" spans="1:8" x14ac:dyDescent="0.25">
      <c r="A975" s="2" t="str">
        <f>"K3-18NW7E"</f>
        <v>K3-18NW7E</v>
      </c>
      <c r="B975" s="2" t="str">
        <f>"1141GM4K K3 Power, LED 18W 20° 4000K metallgrau"</f>
        <v>1141GM4K K3 Power, LED 18W 20° 4000K metallgrau</v>
      </c>
      <c r="C975" s="16">
        <v>612.5</v>
      </c>
      <c r="D975" s="11">
        <v>277</v>
      </c>
      <c r="E975" s="7">
        <f t="shared" si="47"/>
        <v>1</v>
      </c>
      <c r="F975" s="22" t="str">
        <f>IF(ISERROR(VLOOKUP($A975,#REF!,3,0)),"x",VLOOKUP($A975,#REF!,3,FALSE))</f>
        <v>x</v>
      </c>
      <c r="G975" s="9">
        <f t="shared" si="48"/>
        <v>1</v>
      </c>
      <c r="H975" s="13">
        <f t="shared" si="49"/>
        <v>612.5</v>
      </c>
    </row>
    <row r="976" spans="1:8" x14ac:dyDescent="0.25">
      <c r="A976" s="2" t="str">
        <f>"K3-18WW1B"</f>
        <v>K3-18WW1B</v>
      </c>
      <c r="B976" s="2" t="str">
        <f>"1142BI3K K3 Power, LED 18W 50° 3000K weiß"</f>
        <v>1142BI3K K3 Power, LED 18W 50° 3000K weiß</v>
      </c>
      <c r="C976" s="16">
        <v>612.5</v>
      </c>
      <c r="D976" s="11">
        <v>277</v>
      </c>
      <c r="E976" s="7">
        <f t="shared" si="47"/>
        <v>1</v>
      </c>
      <c r="F976" s="22" t="str">
        <f>IF(ISERROR(VLOOKUP($A976,#REF!,3,0)),"x",VLOOKUP($A976,#REF!,3,FALSE))</f>
        <v>x</v>
      </c>
      <c r="G976" s="9">
        <f t="shared" si="48"/>
        <v>1</v>
      </c>
      <c r="H976" s="13">
        <f t="shared" si="49"/>
        <v>612.5</v>
      </c>
    </row>
    <row r="977" spans="1:8" x14ac:dyDescent="0.25">
      <c r="A977" s="2" t="str">
        <f>"K3-18WW1E"</f>
        <v>K3-18WW1E</v>
      </c>
      <c r="B977" s="2" t="str">
        <f>"1141BI3K K3 Power, LED 18W 20° 3000K weiß"</f>
        <v>1141BI3K K3 Power, LED 18W 20° 3000K weiß</v>
      </c>
      <c r="C977" s="16">
        <v>612.5</v>
      </c>
      <c r="D977" s="11">
        <v>277</v>
      </c>
      <c r="E977" s="7">
        <f t="shared" si="47"/>
        <v>1</v>
      </c>
      <c r="F977" s="22" t="str">
        <f>IF(ISERROR(VLOOKUP($A977,#REF!,3,0)),"x",VLOOKUP($A977,#REF!,3,FALSE))</f>
        <v>x</v>
      </c>
      <c r="G977" s="9">
        <f t="shared" si="48"/>
        <v>1</v>
      </c>
      <c r="H977" s="13">
        <f t="shared" si="49"/>
        <v>612.5</v>
      </c>
    </row>
    <row r="978" spans="1:8" x14ac:dyDescent="0.25">
      <c r="A978" s="2" t="str">
        <f>"K3-18WW6B"</f>
        <v>K3-18WW6B</v>
      </c>
      <c r="B978" s="2" t="str">
        <f>"1142AN3K K3 Power, LED 18W 50° 3000K anthrazit"</f>
        <v>1142AN3K K3 Power, LED 18W 50° 3000K anthrazit</v>
      </c>
      <c r="C978" s="16">
        <v>612.5</v>
      </c>
      <c r="D978" s="11">
        <v>277</v>
      </c>
      <c r="E978" s="7">
        <f t="shared" si="47"/>
        <v>1</v>
      </c>
      <c r="F978" s="22" t="str">
        <f>IF(ISERROR(VLOOKUP($A978,#REF!,3,0)),"x",VLOOKUP($A978,#REF!,3,FALSE))</f>
        <v>x</v>
      </c>
      <c r="G978" s="9">
        <f t="shared" si="48"/>
        <v>1</v>
      </c>
      <c r="H978" s="13">
        <f t="shared" si="49"/>
        <v>612.5</v>
      </c>
    </row>
    <row r="979" spans="1:8" x14ac:dyDescent="0.25">
      <c r="A979" s="2" t="str">
        <f>"K3-18WW6E"</f>
        <v>K3-18WW6E</v>
      </c>
      <c r="B979" s="2" t="str">
        <f>"1141AN3K K3 Power, LED 18W 20° 3000K anthrazit"</f>
        <v>1141AN3K K3 Power, LED 18W 20° 3000K anthrazit</v>
      </c>
      <c r="C979" s="16">
        <v>612.5</v>
      </c>
      <c r="D979" s="11">
        <v>277</v>
      </c>
      <c r="E979" s="7">
        <f t="shared" si="47"/>
        <v>1</v>
      </c>
      <c r="F979" s="22" t="str">
        <f>IF(ISERROR(VLOOKUP($A979,#REF!,3,0)),"x",VLOOKUP($A979,#REF!,3,FALSE))</f>
        <v>x</v>
      </c>
      <c r="G979" s="9">
        <f t="shared" si="48"/>
        <v>1</v>
      </c>
      <c r="H979" s="13">
        <f t="shared" si="49"/>
        <v>612.5</v>
      </c>
    </row>
    <row r="980" spans="1:8" x14ac:dyDescent="0.25">
      <c r="A980" s="2" t="str">
        <f>"K3-18WW7B"</f>
        <v>K3-18WW7B</v>
      </c>
      <c r="B980" s="2" t="str">
        <f>"1142GM3K K3 Power, LED 18W 50° 3000K metallgrau"</f>
        <v>1142GM3K K3 Power, LED 18W 50° 3000K metallgrau</v>
      </c>
      <c r="C980" s="16">
        <v>612.5</v>
      </c>
      <c r="D980" s="11">
        <v>277</v>
      </c>
      <c r="E980" s="7">
        <f t="shared" si="47"/>
        <v>1</v>
      </c>
      <c r="F980" s="22" t="str">
        <f>IF(ISERROR(VLOOKUP($A980,#REF!,3,0)),"x",VLOOKUP($A980,#REF!,3,FALSE))</f>
        <v>x</v>
      </c>
      <c r="G980" s="9">
        <f t="shared" si="48"/>
        <v>1</v>
      </c>
      <c r="H980" s="13">
        <f t="shared" si="49"/>
        <v>612.5</v>
      </c>
    </row>
    <row r="981" spans="1:8" x14ac:dyDescent="0.25">
      <c r="A981" s="2" t="str">
        <f>"K3-18WW7E"</f>
        <v>K3-18WW7E</v>
      </c>
      <c r="B981" s="2" t="str">
        <f>"1141GM3K K3 Power, LED 18W 20° 3000K metallgrau"</f>
        <v>1141GM3K K3 Power, LED 18W 20° 3000K metallgrau</v>
      </c>
      <c r="C981" s="16">
        <v>612.5</v>
      </c>
      <c r="D981" s="11">
        <v>277</v>
      </c>
      <c r="E981" s="7">
        <f t="shared" si="47"/>
        <v>1</v>
      </c>
      <c r="F981" s="22" t="str">
        <f>IF(ISERROR(VLOOKUP($A981,#REF!,3,0)),"x",VLOOKUP($A981,#REF!,3,FALSE))</f>
        <v>x</v>
      </c>
      <c r="G981" s="9">
        <f t="shared" si="48"/>
        <v>1</v>
      </c>
      <c r="H981" s="13">
        <f t="shared" si="49"/>
        <v>612.5</v>
      </c>
    </row>
    <row r="982" spans="1:8" x14ac:dyDescent="0.25">
      <c r="A982" s="2" t="str">
        <f>"K3-1NW1B"</f>
        <v>K3-1NW1B</v>
      </c>
      <c r="B982" s="2" t="str">
        <f>"1041BI4K K3 Miniled, LED1x4W 70° 4000K weiß"</f>
        <v>1041BI4K K3 Miniled, LED1x4W 70° 4000K weiß</v>
      </c>
      <c r="C982" s="16">
        <v>250</v>
      </c>
      <c r="D982" s="11">
        <v>275</v>
      </c>
      <c r="E982" s="7">
        <f t="shared" si="47"/>
        <v>1</v>
      </c>
      <c r="F982" s="22" t="str">
        <f>IF(ISERROR(VLOOKUP($A982,#REF!,3,0)),"x",VLOOKUP($A982,#REF!,3,FALSE))</f>
        <v>x</v>
      </c>
      <c r="G982" s="9">
        <f t="shared" si="48"/>
        <v>1</v>
      </c>
      <c r="H982" s="13">
        <f t="shared" si="49"/>
        <v>250</v>
      </c>
    </row>
    <row r="983" spans="1:8" x14ac:dyDescent="0.25">
      <c r="A983" s="2" t="str">
        <f>"K3-1NW1E"</f>
        <v>K3-1NW1E</v>
      </c>
      <c r="B983" s="2" t="str">
        <f>"1040BI4K K3 Miniled, LED1x4W 30° 4000K weiß"</f>
        <v>1040BI4K K3 Miniled, LED1x4W 30° 4000K weiß</v>
      </c>
      <c r="C983" s="16">
        <v>250</v>
      </c>
      <c r="D983" s="11">
        <v>275</v>
      </c>
      <c r="E983" s="7">
        <f t="shared" si="47"/>
        <v>1</v>
      </c>
      <c r="F983" s="22" t="str">
        <f>IF(ISERROR(VLOOKUP($A983,#REF!,3,0)),"x",VLOOKUP($A983,#REF!,3,FALSE))</f>
        <v>x</v>
      </c>
      <c r="G983" s="9">
        <f t="shared" si="48"/>
        <v>1</v>
      </c>
      <c r="H983" s="13">
        <f t="shared" si="49"/>
        <v>250</v>
      </c>
    </row>
    <row r="984" spans="1:8" x14ac:dyDescent="0.25">
      <c r="A984" s="2" t="str">
        <f>"K3-1NW1PB"</f>
        <v>K3-1NW1PB</v>
      </c>
      <c r="B984" s="2" t="str">
        <f>"1105BI4K K3 Power, LED 11W 50° 4000K weiß"</f>
        <v>1105BI4K K3 Power, LED 11W 50° 4000K weiß</v>
      </c>
      <c r="C984" s="16">
        <v>552.5</v>
      </c>
      <c r="D984" s="11">
        <v>277</v>
      </c>
      <c r="E984" s="7">
        <f t="shared" si="47"/>
        <v>1</v>
      </c>
      <c r="F984" s="22" t="str">
        <f>IF(ISERROR(VLOOKUP($A984,#REF!,3,0)),"x",VLOOKUP($A984,#REF!,3,FALSE))</f>
        <v>x</v>
      </c>
      <c r="G984" s="9">
        <f t="shared" si="48"/>
        <v>1</v>
      </c>
      <c r="H984" s="13">
        <f t="shared" si="49"/>
        <v>552.5</v>
      </c>
    </row>
    <row r="985" spans="1:8" x14ac:dyDescent="0.25">
      <c r="A985" s="2" t="str">
        <f>"K3-1NW1PE"</f>
        <v>K3-1NW1PE</v>
      </c>
      <c r="B985" s="2" t="str">
        <f>"1102BI4K K3 Power, LED 11W 20° 4000K weiß"</f>
        <v>1102BI4K K3 Power, LED 11W 20° 4000K weiß</v>
      </c>
      <c r="C985" s="16">
        <v>552.5</v>
      </c>
      <c r="D985" s="11">
        <v>277</v>
      </c>
      <c r="E985" s="7">
        <f t="shared" si="47"/>
        <v>1</v>
      </c>
      <c r="F985" s="22" t="str">
        <f>IF(ISERROR(VLOOKUP($A985,#REF!,3,0)),"x",VLOOKUP($A985,#REF!,3,FALSE))</f>
        <v>x</v>
      </c>
      <c r="G985" s="9">
        <f t="shared" si="48"/>
        <v>1</v>
      </c>
      <c r="H985" s="13">
        <f t="shared" si="49"/>
        <v>552.5</v>
      </c>
    </row>
    <row r="986" spans="1:8" x14ac:dyDescent="0.25">
      <c r="A986" s="2" t="str">
        <f>"K3-1NW1WB"</f>
        <v>K3-1NW1WB</v>
      </c>
      <c r="B986" s="2" t="str">
        <f>"1004BI4K K3 WRITER, LED 8W 70° 4000K weiß"</f>
        <v>1004BI4K K3 WRITER, LED 8W 70° 4000K weiß</v>
      </c>
      <c r="C986" s="16">
        <v>545</v>
      </c>
      <c r="D986" s="11">
        <v>281</v>
      </c>
      <c r="E986" s="7">
        <f t="shared" si="47"/>
        <v>1</v>
      </c>
      <c r="F986" s="22" t="str">
        <f>IF(ISERROR(VLOOKUP($A986,#REF!,3,0)),"x",VLOOKUP($A986,#REF!,3,FALSE))</f>
        <v>x</v>
      </c>
      <c r="G986" s="9">
        <f t="shared" si="48"/>
        <v>1</v>
      </c>
      <c r="H986" s="13">
        <f t="shared" si="49"/>
        <v>545</v>
      </c>
    </row>
    <row r="987" spans="1:8" x14ac:dyDescent="0.25">
      <c r="A987" s="2" t="str">
        <f>"K3-1NW6B"</f>
        <v>K3-1NW6B</v>
      </c>
      <c r="B987" s="2" t="str">
        <f>"1041AN4K K3 Miniled, LED1x4W 70° 4000K Anthrazit"</f>
        <v>1041AN4K K3 Miniled, LED1x4W 70° 4000K Anthrazit</v>
      </c>
      <c r="C987" s="16">
        <v>250</v>
      </c>
      <c r="D987" s="11">
        <v>275</v>
      </c>
      <c r="E987" s="7">
        <f t="shared" si="47"/>
        <v>1</v>
      </c>
      <c r="F987" s="22" t="str">
        <f>IF(ISERROR(VLOOKUP($A987,#REF!,3,0)),"x",VLOOKUP($A987,#REF!,3,FALSE))</f>
        <v>x</v>
      </c>
      <c r="G987" s="9">
        <f t="shared" si="48"/>
        <v>1</v>
      </c>
      <c r="H987" s="13">
        <f t="shared" si="49"/>
        <v>250</v>
      </c>
    </row>
    <row r="988" spans="1:8" x14ac:dyDescent="0.25">
      <c r="A988" s="2" t="str">
        <f>"K3-1NW6E"</f>
        <v>K3-1NW6E</v>
      </c>
      <c r="B988" s="2" t="str">
        <f>"1040AN4K K3 Miniled, LED1x4W 30° 4000K anthrazit"</f>
        <v>1040AN4K K3 Miniled, LED1x4W 30° 4000K anthrazit</v>
      </c>
      <c r="C988" s="16">
        <v>250</v>
      </c>
      <c r="D988" s="11">
        <v>275</v>
      </c>
      <c r="E988" s="7">
        <f t="shared" si="47"/>
        <v>1</v>
      </c>
      <c r="F988" s="22" t="str">
        <f>IF(ISERROR(VLOOKUP($A988,#REF!,3,0)),"x",VLOOKUP($A988,#REF!,3,FALSE))</f>
        <v>x</v>
      </c>
      <c r="G988" s="9">
        <f t="shared" si="48"/>
        <v>1</v>
      </c>
      <c r="H988" s="13">
        <f t="shared" si="49"/>
        <v>250</v>
      </c>
    </row>
    <row r="989" spans="1:8" x14ac:dyDescent="0.25">
      <c r="A989" s="2" t="str">
        <f>"K3-1NW6PB"</f>
        <v>K3-1NW6PB</v>
      </c>
      <c r="B989" s="2" t="str">
        <f>"1105AN4K K3 Power, LED 11W 50° 4000K Anthrazit "</f>
        <v xml:space="preserve">1105AN4K K3 Power, LED 11W 50° 4000K Anthrazit </v>
      </c>
      <c r="C989" s="16">
        <v>552.5</v>
      </c>
      <c r="D989" s="11">
        <v>277</v>
      </c>
      <c r="E989" s="7">
        <f t="shared" si="47"/>
        <v>1</v>
      </c>
      <c r="F989" s="22" t="str">
        <f>IF(ISERROR(VLOOKUP($A989,#REF!,3,0)),"x",VLOOKUP($A989,#REF!,3,FALSE))</f>
        <v>x</v>
      </c>
      <c r="G989" s="9">
        <f t="shared" si="48"/>
        <v>1</v>
      </c>
      <c r="H989" s="13">
        <f t="shared" si="49"/>
        <v>552.5</v>
      </c>
    </row>
    <row r="990" spans="1:8" x14ac:dyDescent="0.25">
      <c r="A990" s="2" t="str">
        <f>"K3-1NW6PE"</f>
        <v>K3-1NW6PE</v>
      </c>
      <c r="B990" s="2" t="str">
        <f>"1102AN4K K3 Power, LED 11W 20° 4000K anthrazit"</f>
        <v>1102AN4K K3 Power, LED 11W 20° 4000K anthrazit</v>
      </c>
      <c r="C990" s="16">
        <v>552.5</v>
      </c>
      <c r="D990" s="11">
        <v>277</v>
      </c>
      <c r="E990" s="7">
        <f t="shared" si="47"/>
        <v>1</v>
      </c>
      <c r="F990" s="22" t="str">
        <f>IF(ISERROR(VLOOKUP($A990,#REF!,3,0)),"x",VLOOKUP($A990,#REF!,3,FALSE))</f>
        <v>x</v>
      </c>
      <c r="G990" s="9">
        <f t="shared" si="48"/>
        <v>1</v>
      </c>
      <c r="H990" s="13">
        <f t="shared" si="49"/>
        <v>552.5</v>
      </c>
    </row>
    <row r="991" spans="1:8" x14ac:dyDescent="0.25">
      <c r="A991" s="2" t="str">
        <f>"K3-1NW6WB"</f>
        <v>K3-1NW6WB</v>
      </c>
      <c r="B991" s="2" t="str">
        <f>"1004AN4K K3 WRITER, LED 8W 70° 4000K graphitgrau"</f>
        <v>1004AN4K K3 WRITER, LED 8W 70° 4000K graphitgrau</v>
      </c>
      <c r="C991" s="16">
        <v>545</v>
      </c>
      <c r="D991" s="11">
        <v>281</v>
      </c>
      <c r="E991" s="7">
        <f t="shared" si="47"/>
        <v>1</v>
      </c>
      <c r="F991" s="22" t="str">
        <f>IF(ISERROR(VLOOKUP($A991,#REF!,3,0)),"x",VLOOKUP($A991,#REF!,3,FALSE))</f>
        <v>x</v>
      </c>
      <c r="G991" s="9">
        <f t="shared" si="48"/>
        <v>1</v>
      </c>
      <c r="H991" s="13">
        <f t="shared" si="49"/>
        <v>545</v>
      </c>
    </row>
    <row r="992" spans="1:8" x14ac:dyDescent="0.25">
      <c r="A992" s="2" t="str">
        <f>"K3-1NW7B"</f>
        <v>K3-1NW7B</v>
      </c>
      <c r="B992" s="2" t="str">
        <f>"1041AG4K K3 Miniled, LED1x4W 70° 4000K Alugrau"</f>
        <v>1041AG4K K3 Miniled, LED1x4W 70° 4000K Alugrau</v>
      </c>
      <c r="C992" s="16">
        <v>250</v>
      </c>
      <c r="D992" s="11">
        <v>275</v>
      </c>
      <c r="E992" s="7">
        <f t="shared" si="47"/>
        <v>1</v>
      </c>
      <c r="F992" s="22" t="str">
        <f>IF(ISERROR(VLOOKUP($A992,#REF!,3,0)),"x",VLOOKUP($A992,#REF!,3,FALSE))</f>
        <v>x</v>
      </c>
      <c r="G992" s="9">
        <f t="shared" si="48"/>
        <v>1</v>
      </c>
      <c r="H992" s="13">
        <f t="shared" si="49"/>
        <v>250</v>
      </c>
    </row>
    <row r="993" spans="1:8" x14ac:dyDescent="0.25">
      <c r="A993" s="2" t="str">
        <f>"K3-1NW7E"</f>
        <v>K3-1NW7E</v>
      </c>
      <c r="B993" s="2" t="str">
        <f>"1040AG4K K3 Miniled, LED1x4W 30° 4000K Aluminiumgrau "</f>
        <v xml:space="preserve">1040AG4K K3 Miniled, LED1x4W 30° 4000K Aluminiumgrau </v>
      </c>
      <c r="C993" s="16">
        <v>250</v>
      </c>
      <c r="D993" s="11">
        <v>275</v>
      </c>
      <c r="E993" s="7">
        <f t="shared" si="47"/>
        <v>1</v>
      </c>
      <c r="F993" s="22" t="str">
        <f>IF(ISERROR(VLOOKUP($A993,#REF!,3,0)),"x",VLOOKUP($A993,#REF!,3,FALSE))</f>
        <v>x</v>
      </c>
      <c r="G993" s="9">
        <f t="shared" si="48"/>
        <v>1</v>
      </c>
      <c r="H993" s="13">
        <f t="shared" si="49"/>
        <v>250</v>
      </c>
    </row>
    <row r="994" spans="1:8" x14ac:dyDescent="0.25">
      <c r="A994" s="2" t="str">
        <f>"K3-1NW7PB"</f>
        <v>K3-1NW7PB</v>
      </c>
      <c r="B994" s="2" t="str">
        <f>"1105AG4K K3 Power, LED 11W 50° 4000K Aluminiumgrau "</f>
        <v xml:space="preserve">1105AG4K K3 Power, LED 11W 50° 4000K Aluminiumgrau </v>
      </c>
      <c r="C994" s="16">
        <v>552.5</v>
      </c>
      <c r="D994" s="11">
        <v>277</v>
      </c>
      <c r="E994" s="7">
        <f t="shared" si="47"/>
        <v>1</v>
      </c>
      <c r="F994" s="22" t="str">
        <f>IF(ISERROR(VLOOKUP($A994,#REF!,3,0)),"x",VLOOKUP($A994,#REF!,3,FALSE))</f>
        <v>x</v>
      </c>
      <c r="G994" s="9">
        <f t="shared" si="48"/>
        <v>1</v>
      </c>
      <c r="H994" s="13">
        <f t="shared" si="49"/>
        <v>552.5</v>
      </c>
    </row>
    <row r="995" spans="1:8" x14ac:dyDescent="0.25">
      <c r="A995" s="2" t="str">
        <f>"K3-1NW7PE"</f>
        <v>K3-1NW7PE</v>
      </c>
      <c r="B995" s="2" t="str">
        <f>"1102AG4K K3 Power, LED 11W 20° 4000K Aluminiumgrau "</f>
        <v xml:space="preserve">1102AG4K K3 Power, LED 11W 20° 4000K Aluminiumgrau </v>
      </c>
      <c r="C995" s="16">
        <v>552.5</v>
      </c>
      <c r="D995" s="11">
        <v>277</v>
      </c>
      <c r="E995" s="7">
        <f t="shared" si="47"/>
        <v>1</v>
      </c>
      <c r="F995" s="22" t="str">
        <f>IF(ISERROR(VLOOKUP($A995,#REF!,3,0)),"x",VLOOKUP($A995,#REF!,3,FALSE))</f>
        <v>x</v>
      </c>
      <c r="G995" s="9">
        <f t="shared" si="48"/>
        <v>1</v>
      </c>
      <c r="H995" s="13">
        <f t="shared" si="49"/>
        <v>552.5</v>
      </c>
    </row>
    <row r="996" spans="1:8" x14ac:dyDescent="0.25">
      <c r="A996" s="2" t="str">
        <f>"K3-1NW7WB"</f>
        <v>K3-1NW7WB</v>
      </c>
      <c r="B996" s="2" t="str">
        <f>"1004AG4K K3 WRITER, LED 8W 70° 4000K Aluminiumgrau "</f>
        <v xml:space="preserve">1004AG4K K3 WRITER, LED 8W 70° 4000K Aluminiumgrau </v>
      </c>
      <c r="C996" s="16">
        <v>545</v>
      </c>
      <c r="D996" s="11">
        <v>281</v>
      </c>
      <c r="E996" s="7">
        <f t="shared" si="47"/>
        <v>1</v>
      </c>
      <c r="F996" s="22" t="str">
        <f>IF(ISERROR(VLOOKUP($A996,#REF!,3,0)),"x",VLOOKUP($A996,#REF!,3,FALSE))</f>
        <v>x</v>
      </c>
      <c r="G996" s="9">
        <f t="shared" si="48"/>
        <v>1</v>
      </c>
      <c r="H996" s="13">
        <f t="shared" si="49"/>
        <v>545</v>
      </c>
    </row>
    <row r="997" spans="1:8" x14ac:dyDescent="0.25">
      <c r="A997" s="2" t="str">
        <f>"K3-1WW1B"</f>
        <v>K3-1WW1B</v>
      </c>
      <c r="B997" s="2" t="str">
        <f>"1041BI3K K3 Miniled, LED1x4W 70° 3000K weiß"</f>
        <v>1041BI3K K3 Miniled, LED1x4W 70° 3000K weiß</v>
      </c>
      <c r="C997" s="16">
        <v>250</v>
      </c>
      <c r="D997" s="11">
        <v>275</v>
      </c>
      <c r="E997" s="7">
        <f t="shared" si="47"/>
        <v>1</v>
      </c>
      <c r="F997" s="22" t="str">
        <f>IF(ISERROR(VLOOKUP($A997,#REF!,3,0)),"x",VLOOKUP($A997,#REF!,3,FALSE))</f>
        <v>x</v>
      </c>
      <c r="G997" s="9">
        <f t="shared" si="48"/>
        <v>1</v>
      </c>
      <c r="H997" s="13">
        <f t="shared" si="49"/>
        <v>250</v>
      </c>
    </row>
    <row r="998" spans="1:8" x14ac:dyDescent="0.25">
      <c r="A998" s="2" t="str">
        <f>"K3-1WW1E"</f>
        <v>K3-1WW1E</v>
      </c>
      <c r="B998" s="2" t="str">
        <f>"1040BI3, K3 Miniled, LED1x4W 30° 3000K weiß"</f>
        <v>1040BI3, K3 Miniled, LED1x4W 30° 3000K weiß</v>
      </c>
      <c r="C998" s="16">
        <v>250</v>
      </c>
      <c r="D998" s="11">
        <v>275</v>
      </c>
      <c r="E998" s="7">
        <f t="shared" si="47"/>
        <v>1</v>
      </c>
      <c r="F998" s="22" t="str">
        <f>IF(ISERROR(VLOOKUP($A998,#REF!,3,0)),"x",VLOOKUP($A998,#REF!,3,FALSE))</f>
        <v>x</v>
      </c>
      <c r="G998" s="9">
        <f t="shared" si="48"/>
        <v>1</v>
      </c>
      <c r="H998" s="13">
        <f t="shared" si="49"/>
        <v>250</v>
      </c>
    </row>
    <row r="999" spans="1:8" x14ac:dyDescent="0.25">
      <c r="A999" s="2" t="str">
        <f>"K3-1WW1PB"</f>
        <v>K3-1WW1PB</v>
      </c>
      <c r="B999" s="2" t="str">
        <f>"1105BI3K K3 Power, LED 11W 50° 3000K weiß"</f>
        <v>1105BI3K K3 Power, LED 11W 50° 3000K weiß</v>
      </c>
      <c r="C999" s="16">
        <v>552.5</v>
      </c>
      <c r="D999" s="11">
        <v>277</v>
      </c>
      <c r="E999" s="7">
        <f t="shared" si="47"/>
        <v>1</v>
      </c>
      <c r="F999" s="22" t="str">
        <f>IF(ISERROR(VLOOKUP($A999,#REF!,3,0)),"x",VLOOKUP($A999,#REF!,3,FALSE))</f>
        <v>x</v>
      </c>
      <c r="G999" s="9">
        <f t="shared" si="48"/>
        <v>1</v>
      </c>
      <c r="H999" s="13">
        <f t="shared" si="49"/>
        <v>552.5</v>
      </c>
    </row>
    <row r="1000" spans="1:8" x14ac:dyDescent="0.25">
      <c r="A1000" s="2" t="str">
        <f>"K3-1WW1PE"</f>
        <v>K3-1WW1PE</v>
      </c>
      <c r="B1000" s="2" t="str">
        <f>"1102BI3K K3 Power, LED 11W 20° 3000K weiß"</f>
        <v>1102BI3K K3 Power, LED 11W 20° 3000K weiß</v>
      </c>
      <c r="C1000" s="16">
        <v>552.5</v>
      </c>
      <c r="D1000" s="11">
        <v>277</v>
      </c>
      <c r="E1000" s="7">
        <f t="shared" si="47"/>
        <v>1</v>
      </c>
      <c r="F1000" s="22" t="str">
        <f>IF(ISERROR(VLOOKUP($A1000,#REF!,3,0)),"x",VLOOKUP($A1000,#REF!,3,FALSE))</f>
        <v>x</v>
      </c>
      <c r="G1000" s="9">
        <f t="shared" si="48"/>
        <v>1</v>
      </c>
      <c r="H1000" s="13">
        <f t="shared" si="49"/>
        <v>552.5</v>
      </c>
    </row>
    <row r="1001" spans="1:8" x14ac:dyDescent="0.25">
      <c r="A1001" s="2" t="str">
        <f>"K3-1WW1WB"</f>
        <v>K3-1WW1WB</v>
      </c>
      <c r="B1001" s="2" t="str">
        <f>"1004BI3K K3 WRITER, LED 8W 70° 3000K weiß"</f>
        <v>1004BI3K K3 WRITER, LED 8W 70° 3000K weiß</v>
      </c>
      <c r="C1001" s="16">
        <v>545</v>
      </c>
      <c r="D1001" s="11">
        <v>281</v>
      </c>
      <c r="E1001" s="7">
        <f t="shared" si="47"/>
        <v>1</v>
      </c>
      <c r="F1001" s="22" t="str">
        <f>IF(ISERROR(VLOOKUP($A1001,#REF!,3,0)),"x",VLOOKUP($A1001,#REF!,3,FALSE))</f>
        <v>x</v>
      </c>
      <c r="G1001" s="9">
        <f t="shared" si="48"/>
        <v>1</v>
      </c>
      <c r="H1001" s="13">
        <f t="shared" si="49"/>
        <v>545</v>
      </c>
    </row>
    <row r="1002" spans="1:8" x14ac:dyDescent="0.25">
      <c r="A1002" s="2" t="str">
        <f>"K3-1WW6B"</f>
        <v>K3-1WW6B</v>
      </c>
      <c r="B1002" s="2" t="str">
        <f>"1041AN3K K3 Miniled, LED1x4W 70° 3000K Anthrazit"</f>
        <v>1041AN3K K3 Miniled, LED1x4W 70° 3000K Anthrazit</v>
      </c>
      <c r="C1002" s="16">
        <v>250</v>
      </c>
      <c r="D1002" s="11">
        <v>275</v>
      </c>
      <c r="E1002" s="7">
        <f t="shared" si="47"/>
        <v>1</v>
      </c>
      <c r="F1002" s="22" t="str">
        <f>IF(ISERROR(VLOOKUP($A1002,#REF!,3,0)),"x",VLOOKUP($A1002,#REF!,3,FALSE))</f>
        <v>x</v>
      </c>
      <c r="G1002" s="9">
        <f t="shared" si="48"/>
        <v>1</v>
      </c>
      <c r="H1002" s="13">
        <f t="shared" si="49"/>
        <v>250</v>
      </c>
    </row>
    <row r="1003" spans="1:8" x14ac:dyDescent="0.25">
      <c r="A1003" s="2" t="str">
        <f>"K3-1WW6E"</f>
        <v>K3-1WW6E</v>
      </c>
      <c r="B1003" s="2" t="str">
        <f>"1040AN3K K3 Miniled, LED1x3W 30° 3000K anthrazit"</f>
        <v>1040AN3K K3 Miniled, LED1x3W 30° 3000K anthrazit</v>
      </c>
      <c r="C1003" s="16">
        <v>250</v>
      </c>
      <c r="D1003" s="11">
        <v>275</v>
      </c>
      <c r="E1003" s="7">
        <f t="shared" si="47"/>
        <v>1</v>
      </c>
      <c r="F1003" s="22" t="str">
        <f>IF(ISERROR(VLOOKUP($A1003,#REF!,3,0)),"x",VLOOKUP($A1003,#REF!,3,FALSE))</f>
        <v>x</v>
      </c>
      <c r="G1003" s="9">
        <f t="shared" si="48"/>
        <v>1</v>
      </c>
      <c r="H1003" s="13">
        <f t="shared" si="49"/>
        <v>250</v>
      </c>
    </row>
    <row r="1004" spans="1:8" x14ac:dyDescent="0.25">
      <c r="A1004" s="2" t="str">
        <f>"K3-1WW6PB"</f>
        <v>K3-1WW6PB</v>
      </c>
      <c r="B1004" s="2" t="str">
        <f>"1105AN3K K3 Power, LED 11W 50° 3000K anthrazit"</f>
        <v>1105AN3K K3 Power, LED 11W 50° 3000K anthrazit</v>
      </c>
      <c r="C1004" s="16">
        <v>552.5</v>
      </c>
      <c r="D1004" s="11">
        <v>277</v>
      </c>
      <c r="E1004" s="7">
        <f t="shared" si="47"/>
        <v>1</v>
      </c>
      <c r="F1004" s="22" t="str">
        <f>IF(ISERROR(VLOOKUP($A1004,#REF!,3,0)),"x",VLOOKUP($A1004,#REF!,3,FALSE))</f>
        <v>x</v>
      </c>
      <c r="G1004" s="9">
        <f t="shared" si="48"/>
        <v>1</v>
      </c>
      <c r="H1004" s="13">
        <f t="shared" si="49"/>
        <v>552.5</v>
      </c>
    </row>
    <row r="1005" spans="1:8" x14ac:dyDescent="0.25">
      <c r="A1005" s="2" t="str">
        <f>"K3-1WW6PE"</f>
        <v>K3-1WW6PE</v>
      </c>
      <c r="B1005" s="2" t="str">
        <f>"1102AN3K K3 Power, LED 11W 20° 3000K anthrazit"</f>
        <v>1102AN3K K3 Power, LED 11W 20° 3000K anthrazit</v>
      </c>
      <c r="C1005" s="16">
        <v>552.5</v>
      </c>
      <c r="D1005" s="11">
        <v>277</v>
      </c>
      <c r="E1005" s="7">
        <f t="shared" si="47"/>
        <v>1</v>
      </c>
      <c r="F1005" s="22" t="str">
        <f>IF(ISERROR(VLOOKUP($A1005,#REF!,3,0)),"x",VLOOKUP($A1005,#REF!,3,FALSE))</f>
        <v>x</v>
      </c>
      <c r="G1005" s="9">
        <f t="shared" si="48"/>
        <v>1</v>
      </c>
      <c r="H1005" s="13">
        <f t="shared" si="49"/>
        <v>552.5</v>
      </c>
    </row>
    <row r="1006" spans="1:8" x14ac:dyDescent="0.25">
      <c r="A1006" s="2" t="str">
        <f>"K3-1WW6WB"</f>
        <v>K3-1WW6WB</v>
      </c>
      <c r="B1006" s="2" t="str">
        <f>"1004AN3K K3 WRITER, LED 8W 70° 3000K Anthrazit "</f>
        <v xml:space="preserve">1004AN3K K3 WRITER, LED 8W 70° 3000K Anthrazit </v>
      </c>
      <c r="C1006" s="16">
        <v>545</v>
      </c>
      <c r="D1006" s="11">
        <v>281</v>
      </c>
      <c r="E1006" s="7">
        <f t="shared" si="47"/>
        <v>1</v>
      </c>
      <c r="F1006" s="22" t="str">
        <f>IF(ISERROR(VLOOKUP($A1006,#REF!,3,0)),"x",VLOOKUP($A1006,#REF!,3,FALSE))</f>
        <v>x</v>
      </c>
      <c r="G1006" s="9">
        <f t="shared" si="48"/>
        <v>1</v>
      </c>
      <c r="H1006" s="13">
        <f t="shared" si="49"/>
        <v>545</v>
      </c>
    </row>
    <row r="1007" spans="1:8" x14ac:dyDescent="0.25">
      <c r="A1007" s="2" t="str">
        <f>"K3-1WW7B"</f>
        <v>K3-1WW7B</v>
      </c>
      <c r="B1007" s="2" t="str">
        <f>"1041AG3K K3 Miniled, LED1x4W 70° 3000K Alugrau"</f>
        <v>1041AG3K K3 Miniled, LED1x4W 70° 3000K Alugrau</v>
      </c>
      <c r="C1007" s="16">
        <v>250</v>
      </c>
      <c r="D1007" s="11">
        <v>275</v>
      </c>
      <c r="E1007" s="7">
        <f t="shared" si="47"/>
        <v>1</v>
      </c>
      <c r="F1007" s="22" t="str">
        <f>IF(ISERROR(VLOOKUP($A1007,#REF!,3,0)),"x",VLOOKUP($A1007,#REF!,3,FALSE))</f>
        <v>x</v>
      </c>
      <c r="G1007" s="9">
        <f t="shared" si="48"/>
        <v>1</v>
      </c>
      <c r="H1007" s="13">
        <f t="shared" si="49"/>
        <v>250</v>
      </c>
    </row>
    <row r="1008" spans="1:8" x14ac:dyDescent="0.25">
      <c r="A1008" s="2" t="str">
        <f>"K3-1WW7E"</f>
        <v>K3-1WW7E</v>
      </c>
      <c r="B1008" s="2" t="str">
        <f>"1040AG3K K3 Miniled, LED1x4W 30° 3000K Alugrau"</f>
        <v>1040AG3K K3 Miniled, LED1x4W 30° 3000K Alugrau</v>
      </c>
      <c r="C1008" s="16">
        <v>250</v>
      </c>
      <c r="D1008" s="11">
        <v>275</v>
      </c>
      <c r="E1008" s="7">
        <f t="shared" si="47"/>
        <v>1</v>
      </c>
      <c r="F1008" s="22" t="str">
        <f>IF(ISERROR(VLOOKUP($A1008,#REF!,3,0)),"x",VLOOKUP($A1008,#REF!,3,FALSE))</f>
        <v>x</v>
      </c>
      <c r="G1008" s="9">
        <f t="shared" si="48"/>
        <v>1</v>
      </c>
      <c r="H1008" s="13">
        <f t="shared" si="49"/>
        <v>250</v>
      </c>
    </row>
    <row r="1009" spans="1:8" x14ac:dyDescent="0.25">
      <c r="A1009" s="2" t="str">
        <f>"K3-1WW7PB"</f>
        <v>K3-1WW7PB</v>
      </c>
      <c r="B1009" s="2" t="str">
        <f>"1105GM3K K3 Power, LED 11W 50° 3000K aluminiumgrau"</f>
        <v>1105GM3K K3 Power, LED 11W 50° 3000K aluminiumgrau</v>
      </c>
      <c r="C1009" s="16">
        <v>552.5</v>
      </c>
      <c r="D1009" s="11">
        <v>277</v>
      </c>
      <c r="E1009" s="7">
        <f t="shared" si="47"/>
        <v>1</v>
      </c>
      <c r="F1009" s="22" t="str">
        <f>IF(ISERROR(VLOOKUP($A1009,#REF!,3,0)),"x",VLOOKUP($A1009,#REF!,3,FALSE))</f>
        <v>x</v>
      </c>
      <c r="G1009" s="9">
        <f t="shared" si="48"/>
        <v>1</v>
      </c>
      <c r="H1009" s="13">
        <f t="shared" si="49"/>
        <v>552.5</v>
      </c>
    </row>
    <row r="1010" spans="1:8" x14ac:dyDescent="0.25">
      <c r="A1010" s="2" t="str">
        <f>"K3-1WW7PE"</f>
        <v>K3-1WW7PE</v>
      </c>
      <c r="B1010" s="2" t="str">
        <f>"1102GM3K K3 Power, LED 11W 20° 3000K metallgrau"</f>
        <v>1102GM3K K3 Power, LED 11W 20° 3000K metallgrau</v>
      </c>
      <c r="C1010" s="16">
        <v>552.5</v>
      </c>
      <c r="D1010" s="11">
        <v>277</v>
      </c>
      <c r="E1010" s="7">
        <f t="shared" si="47"/>
        <v>1</v>
      </c>
      <c r="F1010" s="22" t="str">
        <f>IF(ISERROR(VLOOKUP($A1010,#REF!,3,0)),"x",VLOOKUP($A1010,#REF!,3,FALSE))</f>
        <v>x</v>
      </c>
      <c r="G1010" s="9">
        <f t="shared" si="48"/>
        <v>1</v>
      </c>
      <c r="H1010" s="13">
        <f t="shared" si="49"/>
        <v>552.5</v>
      </c>
    </row>
    <row r="1011" spans="1:8" x14ac:dyDescent="0.25">
      <c r="A1011" s="2" t="str">
        <f>"K3-1WW7WB"</f>
        <v>K3-1WW7WB</v>
      </c>
      <c r="B1011" s="2" t="str">
        <f>"1004GM3K K3 WRITER, LED 8W 70° 3000K metallgrau"</f>
        <v>1004GM3K K3 WRITER, LED 8W 70° 3000K metallgrau</v>
      </c>
      <c r="C1011" s="16">
        <v>545</v>
      </c>
      <c r="D1011" s="11">
        <v>281</v>
      </c>
      <c r="E1011" s="7">
        <f t="shared" si="47"/>
        <v>1</v>
      </c>
      <c r="F1011" s="22" t="str">
        <f>IF(ISERROR(VLOOKUP($A1011,#REF!,3,0)),"x",VLOOKUP($A1011,#REF!,3,FALSE))</f>
        <v>x</v>
      </c>
      <c r="G1011" s="9">
        <f t="shared" si="48"/>
        <v>1</v>
      </c>
      <c r="H1011" s="13">
        <f t="shared" si="49"/>
        <v>545</v>
      </c>
    </row>
    <row r="1012" spans="1:8" x14ac:dyDescent="0.25">
      <c r="A1012" s="2" t="str">
        <f>"K3-2NW1B"</f>
        <v>K3-2NW1B</v>
      </c>
      <c r="B1012" s="2" t="str">
        <f>"1043BI4K K3 Miniled, LED2x4W 70°/70° 4000K weiß"</f>
        <v>1043BI4K K3 Miniled, LED2x4W 70°/70° 4000K weiß</v>
      </c>
      <c r="C1012" s="16">
        <v>305</v>
      </c>
      <c r="D1012" s="11">
        <v>275</v>
      </c>
      <c r="E1012" s="7">
        <f t="shared" si="47"/>
        <v>1</v>
      </c>
      <c r="F1012" s="22" t="str">
        <f>IF(ISERROR(VLOOKUP($A1012,#REF!,3,0)),"x",VLOOKUP($A1012,#REF!,3,FALSE))</f>
        <v>x</v>
      </c>
      <c r="G1012" s="9">
        <f t="shared" si="48"/>
        <v>1</v>
      </c>
      <c r="H1012" s="13">
        <f t="shared" si="49"/>
        <v>305</v>
      </c>
    </row>
    <row r="1013" spans="1:8" x14ac:dyDescent="0.25">
      <c r="A1013" s="2" t="str">
        <f>"K3-2NW1E"</f>
        <v>K3-2NW1E</v>
      </c>
      <c r="B1013" s="2" t="str">
        <f>"1042BI4K K3 Miniled, LED 2x4W 30°/30° 4000K weiß"</f>
        <v>1042BI4K K3 Miniled, LED 2x4W 30°/30° 4000K weiß</v>
      </c>
      <c r="C1013" s="16">
        <v>305</v>
      </c>
      <c r="D1013" s="11">
        <v>275</v>
      </c>
      <c r="E1013" s="7">
        <f t="shared" si="47"/>
        <v>1</v>
      </c>
      <c r="F1013" s="22" t="str">
        <f>IF(ISERROR(VLOOKUP($A1013,#REF!,3,0)),"x",VLOOKUP($A1013,#REF!,3,FALSE))</f>
        <v>x</v>
      </c>
      <c r="G1013" s="9">
        <f t="shared" si="48"/>
        <v>1</v>
      </c>
      <c r="H1013" s="13">
        <f t="shared" si="49"/>
        <v>305</v>
      </c>
    </row>
    <row r="1014" spans="1:8" x14ac:dyDescent="0.25">
      <c r="A1014" s="2" t="str">
        <f>"K3-2NW1EB"</f>
        <v>K3-2NW1EB</v>
      </c>
      <c r="B1014" s="2" t="str">
        <f>"1044BI4K K3 Miniled, LED 2x4W 30°/70° 4000K, weiß"</f>
        <v>1044BI4K K3 Miniled, LED 2x4W 30°/70° 4000K, weiß</v>
      </c>
      <c r="C1014" s="16">
        <v>305</v>
      </c>
      <c r="D1014" s="11">
        <v>275</v>
      </c>
      <c r="E1014" s="7">
        <f t="shared" si="47"/>
        <v>1</v>
      </c>
      <c r="F1014" s="22" t="str">
        <f>IF(ISERROR(VLOOKUP($A1014,#REF!,3,0)),"x",VLOOKUP($A1014,#REF!,3,FALSE))</f>
        <v>x</v>
      </c>
      <c r="G1014" s="9">
        <f t="shared" si="48"/>
        <v>1</v>
      </c>
      <c r="H1014" s="13">
        <f t="shared" si="49"/>
        <v>305</v>
      </c>
    </row>
    <row r="1015" spans="1:8" x14ac:dyDescent="0.25">
      <c r="A1015" s="2" t="str">
        <f>"K3-2NW1PB"</f>
        <v>K3-2NW1PB</v>
      </c>
      <c r="B1015" s="2" t="str">
        <f>"1122BI4K K3 Power, LED 2x11W 50°/50° 4000K weiß"</f>
        <v>1122BI4K K3 Power, LED 2x11W 50°/50° 4000K weiß</v>
      </c>
      <c r="C1015" s="16">
        <v>690</v>
      </c>
      <c r="D1015" s="11">
        <v>277</v>
      </c>
      <c r="E1015" s="7">
        <f t="shared" si="47"/>
        <v>1</v>
      </c>
      <c r="F1015" s="22" t="str">
        <f>IF(ISERROR(VLOOKUP($A1015,#REF!,3,0)),"x",VLOOKUP($A1015,#REF!,3,FALSE))</f>
        <v>x</v>
      </c>
      <c r="G1015" s="9">
        <f t="shared" si="48"/>
        <v>1</v>
      </c>
      <c r="H1015" s="13">
        <f t="shared" si="49"/>
        <v>690</v>
      </c>
    </row>
    <row r="1016" spans="1:8" x14ac:dyDescent="0.25">
      <c r="A1016" s="2" t="str">
        <f>"K3-2NW1PE"</f>
        <v>K3-2NW1PE</v>
      </c>
      <c r="B1016" s="2" t="str">
        <f>"1109BI K3 Power, LED 2x11W 20°/20° 4000K weiß"</f>
        <v>1109BI K3 Power, LED 2x11W 20°/20° 4000K weiß</v>
      </c>
      <c r="C1016" s="16">
        <v>690</v>
      </c>
      <c r="D1016" s="11">
        <v>277</v>
      </c>
      <c r="E1016" s="7">
        <f t="shared" si="47"/>
        <v>1</v>
      </c>
      <c r="F1016" s="22" t="str">
        <f>IF(ISERROR(VLOOKUP($A1016,#REF!,3,0)),"x",VLOOKUP($A1016,#REF!,3,FALSE))</f>
        <v>x</v>
      </c>
      <c r="G1016" s="9">
        <f t="shared" si="48"/>
        <v>1</v>
      </c>
      <c r="H1016" s="13">
        <f t="shared" si="49"/>
        <v>690</v>
      </c>
    </row>
    <row r="1017" spans="1:8" x14ac:dyDescent="0.25">
      <c r="A1017" s="2" t="str">
        <f>"K3-2NW1PEB"</f>
        <v>K3-2NW1PEB</v>
      </c>
      <c r="B1017" s="2" t="str">
        <f>"1122BI4K K3 Power, LED 2x11W 20°/50° 4000K weiß"</f>
        <v>1122BI4K K3 Power, LED 2x11W 20°/50° 4000K weiß</v>
      </c>
      <c r="C1017" s="16">
        <v>690</v>
      </c>
      <c r="D1017" s="11">
        <v>277</v>
      </c>
      <c r="E1017" s="7">
        <f t="shared" si="47"/>
        <v>1</v>
      </c>
      <c r="F1017" s="22" t="str">
        <f>IF(ISERROR(VLOOKUP($A1017,#REF!,3,0)),"x",VLOOKUP($A1017,#REF!,3,FALSE))</f>
        <v>x</v>
      </c>
      <c r="G1017" s="9">
        <f t="shared" si="48"/>
        <v>1</v>
      </c>
      <c r="H1017" s="13">
        <f t="shared" si="49"/>
        <v>690</v>
      </c>
    </row>
    <row r="1018" spans="1:8" x14ac:dyDescent="0.25">
      <c r="A1018" s="2" t="str">
        <f>"K3-2NW1WB"</f>
        <v>K3-2NW1WB</v>
      </c>
      <c r="B1018" s="2" t="str">
        <f>"1008BI4K K3 WRITER, LED 2x8W 70°/70° 4000K weiß"</f>
        <v>1008BI4K K3 WRITER, LED 2x8W 70°/70° 4000K weiß</v>
      </c>
      <c r="C1018" s="16">
        <v>645</v>
      </c>
      <c r="D1018" s="11">
        <v>281</v>
      </c>
      <c r="E1018" s="7">
        <f t="shared" si="47"/>
        <v>1</v>
      </c>
      <c r="F1018" s="22" t="str">
        <f>IF(ISERROR(VLOOKUP($A1018,#REF!,3,0)),"x",VLOOKUP($A1018,#REF!,3,FALSE))</f>
        <v>x</v>
      </c>
      <c r="G1018" s="9">
        <f t="shared" si="48"/>
        <v>1</v>
      </c>
      <c r="H1018" s="13">
        <f t="shared" si="49"/>
        <v>645</v>
      </c>
    </row>
    <row r="1019" spans="1:8" x14ac:dyDescent="0.25">
      <c r="A1019" s="2" t="str">
        <f>"K3-2NW6B"</f>
        <v>K3-2NW6B</v>
      </c>
      <c r="B1019" s="2" t="str">
        <f>"1043AN4K K3 Miniled, LED2x4W 70°/70° 4000K, anthrazit"</f>
        <v>1043AN4K K3 Miniled, LED2x4W 70°/70° 4000K, anthrazit</v>
      </c>
      <c r="C1019" s="16">
        <v>305</v>
      </c>
      <c r="D1019" s="11">
        <v>275</v>
      </c>
      <c r="E1019" s="7">
        <f t="shared" si="47"/>
        <v>1</v>
      </c>
      <c r="F1019" s="22" t="str">
        <f>IF(ISERROR(VLOOKUP($A1019,#REF!,3,0)),"x",VLOOKUP($A1019,#REF!,3,FALSE))</f>
        <v>x</v>
      </c>
      <c r="G1019" s="9">
        <f t="shared" si="48"/>
        <v>1</v>
      </c>
      <c r="H1019" s="13">
        <f t="shared" si="49"/>
        <v>305</v>
      </c>
    </row>
    <row r="1020" spans="1:8" x14ac:dyDescent="0.25">
      <c r="A1020" s="2" t="str">
        <f>"K3-2NW6E"</f>
        <v>K3-2NW6E</v>
      </c>
      <c r="B1020" s="2" t="str">
        <f>"1042AN4K K3 Miniled, LED2x4W 30°/30° 4000K graphitgrau"</f>
        <v>1042AN4K K3 Miniled, LED2x4W 30°/30° 4000K graphitgrau</v>
      </c>
      <c r="C1020" s="16">
        <v>305</v>
      </c>
      <c r="D1020" s="11">
        <v>275</v>
      </c>
      <c r="E1020" s="7">
        <f t="shared" si="47"/>
        <v>1</v>
      </c>
      <c r="F1020" s="22" t="str">
        <f>IF(ISERROR(VLOOKUP($A1020,#REF!,3,0)),"x",VLOOKUP($A1020,#REF!,3,FALSE))</f>
        <v>x</v>
      </c>
      <c r="G1020" s="9">
        <f t="shared" si="48"/>
        <v>1</v>
      </c>
      <c r="H1020" s="13">
        <f t="shared" si="49"/>
        <v>305</v>
      </c>
    </row>
    <row r="1021" spans="1:8" x14ac:dyDescent="0.25">
      <c r="A1021" s="2" t="str">
        <f>"K3-2NW6EB"</f>
        <v>K3-2NW6EB</v>
      </c>
      <c r="B1021" s="2" t="str">
        <f>"1044AN4K K3 Miniled, LED2x4W 30°/70° 4000K Anthrazit"</f>
        <v>1044AN4K K3 Miniled, LED2x4W 30°/70° 4000K Anthrazit</v>
      </c>
      <c r="C1021" s="16">
        <v>305</v>
      </c>
      <c r="D1021" s="11">
        <v>275</v>
      </c>
      <c r="E1021" s="7">
        <f t="shared" si="47"/>
        <v>1</v>
      </c>
      <c r="F1021" s="22" t="str">
        <f>IF(ISERROR(VLOOKUP($A1021,#REF!,3,0)),"x",VLOOKUP($A1021,#REF!,3,FALSE))</f>
        <v>x</v>
      </c>
      <c r="G1021" s="9">
        <f t="shared" si="48"/>
        <v>1</v>
      </c>
      <c r="H1021" s="13">
        <f t="shared" si="49"/>
        <v>305</v>
      </c>
    </row>
    <row r="1022" spans="1:8" x14ac:dyDescent="0.25">
      <c r="A1022" s="2" t="str">
        <f>"K3-2NW6PB"</f>
        <v>K3-2NW6PB</v>
      </c>
      <c r="B1022" s="2" t="str">
        <f>"1122AN4K K3 Power, LED2x11W 50°/50° 4000K Anthrazit"</f>
        <v>1122AN4K K3 Power, LED2x11W 50°/50° 4000K Anthrazit</v>
      </c>
      <c r="C1022" s="16">
        <v>690</v>
      </c>
      <c r="D1022" s="11">
        <v>277</v>
      </c>
      <c r="E1022" s="7">
        <f t="shared" si="47"/>
        <v>1</v>
      </c>
      <c r="F1022" s="22" t="str">
        <f>IF(ISERROR(VLOOKUP($A1022,#REF!,3,0)),"x",VLOOKUP($A1022,#REF!,3,FALSE))</f>
        <v>x</v>
      </c>
      <c r="G1022" s="9">
        <f t="shared" si="48"/>
        <v>1</v>
      </c>
      <c r="H1022" s="13">
        <f t="shared" si="49"/>
        <v>690</v>
      </c>
    </row>
    <row r="1023" spans="1:8" x14ac:dyDescent="0.25">
      <c r="A1023" s="2" t="str">
        <f>"K3-2NW6PE"</f>
        <v>K3-2NW6PE</v>
      </c>
      <c r="B1023" s="2" t="str">
        <f>"1109AN4K K3 Power, LED 2x11W 20°/20° 4000K anthrazit"</f>
        <v>1109AN4K K3 Power, LED 2x11W 20°/20° 4000K anthrazit</v>
      </c>
      <c r="C1023" s="16">
        <v>690</v>
      </c>
      <c r="D1023" s="11">
        <v>277</v>
      </c>
      <c r="E1023" s="7">
        <f t="shared" si="47"/>
        <v>1</v>
      </c>
      <c r="F1023" s="22" t="str">
        <f>IF(ISERROR(VLOOKUP($A1023,#REF!,3,0)),"x",VLOOKUP($A1023,#REF!,3,FALSE))</f>
        <v>x</v>
      </c>
      <c r="G1023" s="9">
        <f t="shared" si="48"/>
        <v>1</v>
      </c>
      <c r="H1023" s="13">
        <f t="shared" si="49"/>
        <v>690</v>
      </c>
    </row>
    <row r="1024" spans="1:8" x14ac:dyDescent="0.25">
      <c r="A1024" s="2" t="str">
        <f>"K3-2NW6PEB"</f>
        <v>K3-2NW6PEB</v>
      </c>
      <c r="B1024" s="2" t="str">
        <f>"1122GR4K K3 Power, LED 2x11W 20°/50° 4000K graphitgrau"</f>
        <v>1122GR4K K3 Power, LED 2x11W 20°/50° 4000K graphitgrau</v>
      </c>
      <c r="C1024" s="16">
        <v>690</v>
      </c>
      <c r="D1024" s="11">
        <v>277</v>
      </c>
      <c r="E1024" s="7">
        <f t="shared" si="47"/>
        <v>1</v>
      </c>
      <c r="F1024" s="22" t="str">
        <f>IF(ISERROR(VLOOKUP($A1024,#REF!,3,0)),"x",VLOOKUP($A1024,#REF!,3,FALSE))</f>
        <v>x</v>
      </c>
      <c r="G1024" s="9">
        <f t="shared" si="48"/>
        <v>1</v>
      </c>
      <c r="H1024" s="13">
        <f t="shared" si="49"/>
        <v>690</v>
      </c>
    </row>
    <row r="1025" spans="1:8" x14ac:dyDescent="0.25">
      <c r="A1025" s="2" t="str">
        <f>"K3-2NW6WB"</f>
        <v>K3-2NW6WB</v>
      </c>
      <c r="B1025" s="2" t="str">
        <f>"1008AN4K K3 WRITER, LED 2x8W 70°/70° 4000K Anthrazit "</f>
        <v xml:space="preserve">1008AN4K K3 WRITER, LED 2x8W 70°/70° 4000K Anthrazit </v>
      </c>
      <c r="C1025" s="16">
        <v>645</v>
      </c>
      <c r="D1025" s="11">
        <v>281</v>
      </c>
      <c r="E1025" s="7">
        <f t="shared" si="47"/>
        <v>1</v>
      </c>
      <c r="F1025" s="22" t="str">
        <f>IF(ISERROR(VLOOKUP($A1025,#REF!,3,0)),"x",VLOOKUP($A1025,#REF!,3,FALSE))</f>
        <v>x</v>
      </c>
      <c r="G1025" s="9">
        <f t="shared" si="48"/>
        <v>1</v>
      </c>
      <c r="H1025" s="13">
        <f t="shared" si="49"/>
        <v>645</v>
      </c>
    </row>
    <row r="1026" spans="1:8" x14ac:dyDescent="0.25">
      <c r="A1026" s="2" t="str">
        <f>"K3-2NW7B"</f>
        <v>K3-2NW7B</v>
      </c>
      <c r="B1026" s="2" t="str">
        <f>"1043AG4K K3 Miniled, LED2x4W 70°/70° 4000K Alugrau"</f>
        <v>1043AG4K K3 Miniled, LED2x4W 70°/70° 4000K Alugrau</v>
      </c>
      <c r="C1026" s="16">
        <v>305</v>
      </c>
      <c r="D1026" s="11">
        <v>275</v>
      </c>
      <c r="E1026" s="7">
        <f t="shared" si="47"/>
        <v>1</v>
      </c>
      <c r="F1026" s="22" t="str">
        <f>IF(ISERROR(VLOOKUP($A1026,#REF!,3,0)),"x",VLOOKUP($A1026,#REF!,3,FALSE))</f>
        <v>x</v>
      </c>
      <c r="G1026" s="9">
        <f t="shared" si="48"/>
        <v>1</v>
      </c>
      <c r="H1026" s="13">
        <f t="shared" si="49"/>
        <v>305</v>
      </c>
    </row>
    <row r="1027" spans="1:8" x14ac:dyDescent="0.25">
      <c r="A1027" s="2" t="str">
        <f>"K3-2NW7E"</f>
        <v>K3-2NW7E</v>
      </c>
      <c r="B1027" s="2" t="str">
        <f>"1042AG4K K3 Miniled, LED2x4W 30°/30° 4000K, Alugrau"</f>
        <v>1042AG4K K3 Miniled, LED2x4W 30°/30° 4000K, Alugrau</v>
      </c>
      <c r="C1027" s="16">
        <v>305</v>
      </c>
      <c r="D1027" s="11">
        <v>275</v>
      </c>
      <c r="E1027" s="7">
        <f t="shared" ref="E1027:E1090" si="50">G1027</f>
        <v>1</v>
      </c>
      <c r="F1027" s="22" t="str">
        <f>IF(ISERROR(VLOOKUP($A1027,#REF!,3,0)),"x",VLOOKUP($A1027,#REF!,3,FALSE))</f>
        <v>x</v>
      </c>
      <c r="G1027" s="9">
        <f t="shared" ref="G1027:G1090" si="51">IF(C1027&lt;F1027,1,IF(C1027&gt;F1027,-1,0))</f>
        <v>1</v>
      </c>
      <c r="H1027" s="13">
        <f t="shared" si="49"/>
        <v>305</v>
      </c>
    </row>
    <row r="1028" spans="1:8" x14ac:dyDescent="0.25">
      <c r="A1028" s="2" t="str">
        <f>"K3-2NW7EB"</f>
        <v>K3-2NW7EB</v>
      </c>
      <c r="B1028" s="2" t="str">
        <f>"1044GM4K K3 Miniled, LED2x4W 30°/70° 4000K metallgrau"</f>
        <v>1044GM4K K3 Miniled, LED2x4W 30°/70° 4000K metallgrau</v>
      </c>
      <c r="C1028" s="16">
        <v>305</v>
      </c>
      <c r="D1028" s="11">
        <v>275</v>
      </c>
      <c r="E1028" s="7">
        <f t="shared" si="50"/>
        <v>1</v>
      </c>
      <c r="F1028" s="22" t="str">
        <f>IF(ISERROR(VLOOKUP($A1028,#REF!,3,0)),"x",VLOOKUP($A1028,#REF!,3,FALSE))</f>
        <v>x</v>
      </c>
      <c r="G1028" s="9">
        <f t="shared" si="51"/>
        <v>1</v>
      </c>
      <c r="H1028" s="13">
        <f t="shared" si="49"/>
        <v>305</v>
      </c>
    </row>
    <row r="1029" spans="1:8" x14ac:dyDescent="0.25">
      <c r="A1029" s="2" t="str">
        <f>"K3-2NW7PB"</f>
        <v>K3-2NW7PB</v>
      </c>
      <c r="B1029" s="2" t="str">
        <f>"1122GM4K K3 Power, LED 2x11W 50°/50° 4000K metallgrau"</f>
        <v>1122GM4K K3 Power, LED 2x11W 50°/50° 4000K metallgrau</v>
      </c>
      <c r="C1029" s="16">
        <v>690</v>
      </c>
      <c r="D1029" s="11">
        <v>277</v>
      </c>
      <c r="E1029" s="7">
        <f t="shared" si="50"/>
        <v>1</v>
      </c>
      <c r="F1029" s="22" t="str">
        <f>IF(ISERROR(VLOOKUP($A1029,#REF!,3,0)),"x",VLOOKUP($A1029,#REF!,3,FALSE))</f>
        <v>x</v>
      </c>
      <c r="G1029" s="9">
        <f t="shared" si="51"/>
        <v>1</v>
      </c>
      <c r="H1029" s="13">
        <f t="shared" ref="H1029:H1092" si="52">IF(F1029="x",C1029,F1029)</f>
        <v>690</v>
      </c>
    </row>
    <row r="1030" spans="1:8" x14ac:dyDescent="0.25">
      <c r="A1030" s="2" t="str">
        <f>"K3-2NW7PE"</f>
        <v>K3-2NW7PE</v>
      </c>
      <c r="B1030" s="2" t="str">
        <f>"1109GM K3 Power, LED 2x11W 20°/20° 4000K metallgrau"</f>
        <v>1109GM K3 Power, LED 2x11W 20°/20° 4000K metallgrau</v>
      </c>
      <c r="C1030" s="16">
        <v>690</v>
      </c>
      <c r="D1030" s="11">
        <v>277</v>
      </c>
      <c r="E1030" s="7">
        <f t="shared" si="50"/>
        <v>1</v>
      </c>
      <c r="F1030" s="22" t="str">
        <f>IF(ISERROR(VLOOKUP($A1030,#REF!,3,0)),"x",VLOOKUP($A1030,#REF!,3,FALSE))</f>
        <v>x</v>
      </c>
      <c r="G1030" s="9">
        <f t="shared" si="51"/>
        <v>1</v>
      </c>
      <c r="H1030" s="13">
        <f t="shared" si="52"/>
        <v>690</v>
      </c>
    </row>
    <row r="1031" spans="1:8" x14ac:dyDescent="0.25">
      <c r="A1031" s="2" t="str">
        <f>"K3-2NW7PEB"</f>
        <v>K3-2NW7PEB</v>
      </c>
      <c r="B1031" s="2" t="str">
        <f>"1122GM4K K3 Power, LED 2x11W 20°/50° 4000K metallgrau"</f>
        <v>1122GM4K K3 Power, LED 2x11W 20°/50° 4000K metallgrau</v>
      </c>
      <c r="C1031" s="16">
        <v>690</v>
      </c>
      <c r="D1031" s="11">
        <v>277</v>
      </c>
      <c r="E1031" s="7">
        <f t="shared" si="50"/>
        <v>1</v>
      </c>
      <c r="F1031" s="22" t="str">
        <f>IF(ISERROR(VLOOKUP($A1031,#REF!,3,0)),"x",VLOOKUP($A1031,#REF!,3,FALSE))</f>
        <v>x</v>
      </c>
      <c r="G1031" s="9">
        <f t="shared" si="51"/>
        <v>1</v>
      </c>
      <c r="H1031" s="13">
        <f t="shared" si="52"/>
        <v>690</v>
      </c>
    </row>
    <row r="1032" spans="1:8" x14ac:dyDescent="0.25">
      <c r="A1032" s="2" t="str">
        <f>"K3-2NW7WB"</f>
        <v>K3-2NW7WB</v>
      </c>
      <c r="B1032" s="2" t="str">
        <f>"1008AG4K K3 WRITER, LED 2x8W 70°/70° 4000K Aluminiumgrau "</f>
        <v xml:space="preserve">1008AG4K K3 WRITER, LED 2x8W 70°/70° 4000K Aluminiumgrau </v>
      </c>
      <c r="C1032" s="16">
        <v>645</v>
      </c>
      <c r="D1032" s="11">
        <v>281</v>
      </c>
      <c r="E1032" s="7">
        <f t="shared" si="50"/>
        <v>1</v>
      </c>
      <c r="F1032" s="22" t="str">
        <f>IF(ISERROR(VLOOKUP($A1032,#REF!,3,0)),"x",VLOOKUP($A1032,#REF!,3,FALSE))</f>
        <v>x</v>
      </c>
      <c r="G1032" s="9">
        <f t="shared" si="51"/>
        <v>1</v>
      </c>
      <c r="H1032" s="13">
        <f t="shared" si="52"/>
        <v>645</v>
      </c>
    </row>
    <row r="1033" spans="1:8" x14ac:dyDescent="0.25">
      <c r="A1033" s="2" t="str">
        <f>"K3-2WW1B"</f>
        <v>K3-2WW1B</v>
      </c>
      <c r="B1033" s="2" t="str">
        <f>"1043BI3K K3 Miniled, LED2x4W 70°/70° 3000K weiß"</f>
        <v>1043BI3K K3 Miniled, LED2x4W 70°/70° 3000K weiß</v>
      </c>
      <c r="C1033" s="16">
        <v>305</v>
      </c>
      <c r="D1033" s="11">
        <v>275</v>
      </c>
      <c r="E1033" s="7">
        <f t="shared" si="50"/>
        <v>1</v>
      </c>
      <c r="F1033" s="22" t="str">
        <f>IF(ISERROR(VLOOKUP($A1033,#REF!,3,0)),"x",VLOOKUP($A1033,#REF!,3,FALSE))</f>
        <v>x</v>
      </c>
      <c r="G1033" s="9">
        <f t="shared" si="51"/>
        <v>1</v>
      </c>
      <c r="H1033" s="13">
        <f t="shared" si="52"/>
        <v>305</v>
      </c>
    </row>
    <row r="1034" spans="1:8" x14ac:dyDescent="0.25">
      <c r="A1034" s="2" t="str">
        <f>"K3-2WW1E"</f>
        <v>K3-2WW1E</v>
      </c>
      <c r="B1034" s="2" t="str">
        <f>"1042BI3K K3 Miniled, LED2x4W 30°/30° 3000K weiß"</f>
        <v>1042BI3K K3 Miniled, LED2x4W 30°/30° 3000K weiß</v>
      </c>
      <c r="C1034" s="16">
        <v>305</v>
      </c>
      <c r="D1034" s="11">
        <v>275</v>
      </c>
      <c r="E1034" s="7">
        <f t="shared" si="50"/>
        <v>1</v>
      </c>
      <c r="F1034" s="22" t="str">
        <f>IF(ISERROR(VLOOKUP($A1034,#REF!,3,0)),"x",VLOOKUP($A1034,#REF!,3,FALSE))</f>
        <v>x</v>
      </c>
      <c r="G1034" s="9">
        <f t="shared" si="51"/>
        <v>1</v>
      </c>
      <c r="H1034" s="13">
        <f t="shared" si="52"/>
        <v>305</v>
      </c>
    </row>
    <row r="1035" spans="1:8" x14ac:dyDescent="0.25">
      <c r="A1035" s="2" t="str">
        <f>"K3-2WW1EB"</f>
        <v>K3-2WW1EB</v>
      </c>
      <c r="B1035" s="2" t="str">
        <f>"1044BI3K K3 Miniled, LED 2x4W 30°/70° 3000K weiß"</f>
        <v>1044BI3K K3 Miniled, LED 2x4W 30°/70° 3000K weiß</v>
      </c>
      <c r="C1035" s="16">
        <v>305</v>
      </c>
      <c r="D1035" s="11">
        <v>275</v>
      </c>
      <c r="E1035" s="7">
        <f t="shared" si="50"/>
        <v>1</v>
      </c>
      <c r="F1035" s="22" t="str">
        <f>IF(ISERROR(VLOOKUP($A1035,#REF!,3,0)),"x",VLOOKUP($A1035,#REF!,3,FALSE))</f>
        <v>x</v>
      </c>
      <c r="G1035" s="9">
        <f t="shared" si="51"/>
        <v>1</v>
      </c>
      <c r="H1035" s="13">
        <f t="shared" si="52"/>
        <v>305</v>
      </c>
    </row>
    <row r="1036" spans="1:8" x14ac:dyDescent="0.25">
      <c r="A1036" s="2" t="str">
        <f>"K3-2WW1PB"</f>
        <v>K3-2WW1PB</v>
      </c>
      <c r="B1036" s="2" t="str">
        <f>"1122BI3K K3 Power, LED 2x11W 50°/50° 3000K weiß"</f>
        <v>1122BI3K K3 Power, LED 2x11W 50°/50° 3000K weiß</v>
      </c>
      <c r="C1036" s="16">
        <v>690</v>
      </c>
      <c r="D1036" s="11">
        <v>277</v>
      </c>
      <c r="E1036" s="7">
        <f t="shared" si="50"/>
        <v>1</v>
      </c>
      <c r="F1036" s="22" t="str">
        <f>IF(ISERROR(VLOOKUP($A1036,#REF!,3,0)),"x",VLOOKUP($A1036,#REF!,3,FALSE))</f>
        <v>x</v>
      </c>
      <c r="G1036" s="9">
        <f t="shared" si="51"/>
        <v>1</v>
      </c>
      <c r="H1036" s="13">
        <f t="shared" si="52"/>
        <v>690</v>
      </c>
    </row>
    <row r="1037" spans="1:8" x14ac:dyDescent="0.25">
      <c r="A1037" s="2" t="str">
        <f>"K3-2WW1PE"</f>
        <v>K3-2WW1PE</v>
      </c>
      <c r="B1037" s="2" t="str">
        <f>"1109BI3K K3 Power, LED 2x11W 20°/20° 3000K weiß"</f>
        <v>1109BI3K K3 Power, LED 2x11W 20°/20° 3000K weiß</v>
      </c>
      <c r="C1037" s="16">
        <v>690</v>
      </c>
      <c r="D1037" s="11">
        <v>277</v>
      </c>
      <c r="E1037" s="7">
        <f t="shared" si="50"/>
        <v>1</v>
      </c>
      <c r="F1037" s="22" t="str">
        <f>IF(ISERROR(VLOOKUP($A1037,#REF!,3,0)),"x",VLOOKUP($A1037,#REF!,3,FALSE))</f>
        <v>x</v>
      </c>
      <c r="G1037" s="9">
        <f t="shared" si="51"/>
        <v>1</v>
      </c>
      <c r="H1037" s="13">
        <f t="shared" si="52"/>
        <v>690</v>
      </c>
    </row>
    <row r="1038" spans="1:8" x14ac:dyDescent="0.25">
      <c r="A1038" s="2" t="str">
        <f>"K3-2WW1PEB"</f>
        <v>K3-2WW1PEB</v>
      </c>
      <c r="B1038" s="2" t="str">
        <f>"1122BI3K K3 Power, LED 2x11W 20°/50° 3000K weiß"</f>
        <v>1122BI3K K3 Power, LED 2x11W 20°/50° 3000K weiß</v>
      </c>
      <c r="C1038" s="16">
        <v>690</v>
      </c>
      <c r="D1038" s="11">
        <v>277</v>
      </c>
      <c r="E1038" s="7">
        <f t="shared" si="50"/>
        <v>1</v>
      </c>
      <c r="F1038" s="22" t="str">
        <f>IF(ISERROR(VLOOKUP($A1038,#REF!,3,0)),"x",VLOOKUP($A1038,#REF!,3,FALSE))</f>
        <v>x</v>
      </c>
      <c r="G1038" s="9">
        <f t="shared" si="51"/>
        <v>1</v>
      </c>
      <c r="H1038" s="13">
        <f t="shared" si="52"/>
        <v>690</v>
      </c>
    </row>
    <row r="1039" spans="1:8" x14ac:dyDescent="0.25">
      <c r="A1039" s="2" t="str">
        <f>"K3-2WW1WB"</f>
        <v>K3-2WW1WB</v>
      </c>
      <c r="B1039" s="2" t="str">
        <f>"1008BI3K K3 WRITER, LED 2x8W 70°/70° 3000K weiß"</f>
        <v>1008BI3K K3 WRITER, LED 2x8W 70°/70° 3000K weiß</v>
      </c>
      <c r="C1039" s="16">
        <v>645</v>
      </c>
      <c r="D1039" s="11">
        <v>281</v>
      </c>
      <c r="E1039" s="7">
        <f t="shared" si="50"/>
        <v>1</v>
      </c>
      <c r="F1039" s="22" t="str">
        <f>IF(ISERROR(VLOOKUP($A1039,#REF!,3,0)),"x",VLOOKUP($A1039,#REF!,3,FALSE))</f>
        <v>x</v>
      </c>
      <c r="G1039" s="9">
        <f t="shared" si="51"/>
        <v>1</v>
      </c>
      <c r="H1039" s="13">
        <f t="shared" si="52"/>
        <v>645</v>
      </c>
    </row>
    <row r="1040" spans="1:8" x14ac:dyDescent="0.25">
      <c r="A1040" s="2" t="str">
        <f>"K3-2WW6B"</f>
        <v>K3-2WW6B</v>
      </c>
      <c r="B1040" s="2" t="str">
        <f>"1043AN3K K3 Miniled, LED 2x4W 70°/70° 3000K anthrazit"</f>
        <v>1043AN3K K3 Miniled, LED 2x4W 70°/70° 3000K anthrazit</v>
      </c>
      <c r="C1040" s="16">
        <v>305</v>
      </c>
      <c r="D1040" s="11">
        <v>275</v>
      </c>
      <c r="E1040" s="7">
        <f t="shared" si="50"/>
        <v>1</v>
      </c>
      <c r="F1040" s="22" t="str">
        <f>IF(ISERROR(VLOOKUP($A1040,#REF!,3,0)),"x",VLOOKUP($A1040,#REF!,3,FALSE))</f>
        <v>x</v>
      </c>
      <c r="G1040" s="9">
        <f t="shared" si="51"/>
        <v>1</v>
      </c>
      <c r="H1040" s="13">
        <f t="shared" si="52"/>
        <v>305</v>
      </c>
    </row>
    <row r="1041" spans="1:8" x14ac:dyDescent="0.25">
      <c r="A1041" s="2" t="str">
        <f>"K3-2WW6E"</f>
        <v>K3-2WW6E</v>
      </c>
      <c r="B1041" s="2" t="str">
        <f>"1042AN3K K3 Miniled, LED 2x4W 30°/30° 3000K anthrazit"</f>
        <v>1042AN3K K3 Miniled, LED 2x4W 30°/30° 3000K anthrazit</v>
      </c>
      <c r="C1041" s="16">
        <v>305</v>
      </c>
      <c r="D1041" s="11">
        <v>275</v>
      </c>
      <c r="E1041" s="7">
        <f t="shared" si="50"/>
        <v>1</v>
      </c>
      <c r="F1041" s="22" t="str">
        <f>IF(ISERROR(VLOOKUP($A1041,#REF!,3,0)),"x",VLOOKUP($A1041,#REF!,3,FALSE))</f>
        <v>x</v>
      </c>
      <c r="G1041" s="9">
        <f t="shared" si="51"/>
        <v>1</v>
      </c>
      <c r="H1041" s="13">
        <f t="shared" si="52"/>
        <v>305</v>
      </c>
    </row>
    <row r="1042" spans="1:8" x14ac:dyDescent="0.25">
      <c r="A1042" s="2" t="str">
        <f>"K3-2WW6EB"</f>
        <v>K3-2WW6EB</v>
      </c>
      <c r="B1042" s="2" t="str">
        <f>"1044AN3K K3 Miniled, LED 2x4W 30°/70° 3000K Anthrazit "</f>
        <v xml:space="preserve">1044AN3K K3 Miniled, LED 2x4W 30°/70° 3000K Anthrazit </v>
      </c>
      <c r="C1042" s="16">
        <v>305</v>
      </c>
      <c r="D1042" s="11">
        <v>275</v>
      </c>
      <c r="E1042" s="7">
        <f t="shared" si="50"/>
        <v>1</v>
      </c>
      <c r="F1042" s="22" t="str">
        <f>IF(ISERROR(VLOOKUP($A1042,#REF!,3,0)),"x",VLOOKUP($A1042,#REF!,3,FALSE))</f>
        <v>x</v>
      </c>
      <c r="G1042" s="9">
        <f t="shared" si="51"/>
        <v>1</v>
      </c>
      <c r="H1042" s="13">
        <f t="shared" si="52"/>
        <v>305</v>
      </c>
    </row>
    <row r="1043" spans="1:8" x14ac:dyDescent="0.25">
      <c r="A1043" s="2" t="str">
        <f>"K3-2WW6PB"</f>
        <v>K3-2WW6PB</v>
      </c>
      <c r="B1043" s="2" t="str">
        <f>"1122AN3K K3 Power, LED 2x11W 50°/50° 3000K anthrazit"</f>
        <v>1122AN3K K3 Power, LED 2x11W 50°/50° 3000K anthrazit</v>
      </c>
      <c r="C1043" s="16">
        <v>690</v>
      </c>
      <c r="D1043" s="11">
        <v>277</v>
      </c>
      <c r="E1043" s="7">
        <f t="shared" si="50"/>
        <v>1</v>
      </c>
      <c r="F1043" s="22" t="str">
        <f>IF(ISERROR(VLOOKUP($A1043,#REF!,3,0)),"x",VLOOKUP($A1043,#REF!,3,FALSE))</f>
        <v>x</v>
      </c>
      <c r="G1043" s="9">
        <f t="shared" si="51"/>
        <v>1</v>
      </c>
      <c r="H1043" s="13">
        <f t="shared" si="52"/>
        <v>690</v>
      </c>
    </row>
    <row r="1044" spans="1:8" x14ac:dyDescent="0.25">
      <c r="A1044" s="2" t="str">
        <f>"K3-2WW6PE"</f>
        <v>K3-2WW6PE</v>
      </c>
      <c r="B1044" s="2" t="str">
        <f>"1109GR3K K3 Power, LED 2x11W 20°/20° 3000K graphitgrau"</f>
        <v>1109GR3K K3 Power, LED 2x11W 20°/20° 3000K graphitgrau</v>
      </c>
      <c r="C1044" s="16">
        <v>690</v>
      </c>
      <c r="D1044" s="11">
        <v>277</v>
      </c>
      <c r="E1044" s="7">
        <f t="shared" si="50"/>
        <v>1</v>
      </c>
      <c r="F1044" s="22" t="str">
        <f>IF(ISERROR(VLOOKUP($A1044,#REF!,3,0)),"x",VLOOKUP($A1044,#REF!,3,FALSE))</f>
        <v>x</v>
      </c>
      <c r="G1044" s="9">
        <f t="shared" si="51"/>
        <v>1</v>
      </c>
      <c r="H1044" s="13">
        <f t="shared" si="52"/>
        <v>690</v>
      </c>
    </row>
    <row r="1045" spans="1:8" x14ac:dyDescent="0.25">
      <c r="A1045" s="2" t="str">
        <f>"K3-2WW6PEB"</f>
        <v>K3-2WW6PEB</v>
      </c>
      <c r="B1045" s="2" t="str">
        <f>"1122GR3K K3 Power, LED2x11W 20°/50° 3000K graphitgrau"</f>
        <v>1122GR3K K3 Power, LED2x11W 20°/50° 3000K graphitgrau</v>
      </c>
      <c r="C1045" s="16">
        <v>690</v>
      </c>
      <c r="D1045" s="11">
        <v>277</v>
      </c>
      <c r="E1045" s="7">
        <f t="shared" si="50"/>
        <v>1</v>
      </c>
      <c r="F1045" s="22" t="str">
        <f>IF(ISERROR(VLOOKUP($A1045,#REF!,3,0)),"x",VLOOKUP($A1045,#REF!,3,FALSE))</f>
        <v>x</v>
      </c>
      <c r="G1045" s="9">
        <f t="shared" si="51"/>
        <v>1</v>
      </c>
      <c r="H1045" s="13">
        <f t="shared" si="52"/>
        <v>690</v>
      </c>
    </row>
    <row r="1046" spans="1:8" x14ac:dyDescent="0.25">
      <c r="A1046" s="2" t="str">
        <f>"K3-2WW6WB"</f>
        <v>K3-2WW6WB</v>
      </c>
      <c r="B1046" s="2" t="str">
        <f>"1008AN3K K3 WRITER, LED 2x8W 70°/70° 3000K Anthrazit "</f>
        <v xml:space="preserve">1008AN3K K3 WRITER, LED 2x8W 70°/70° 3000K Anthrazit </v>
      </c>
      <c r="C1046" s="16">
        <v>645</v>
      </c>
      <c r="D1046" s="11">
        <v>281</v>
      </c>
      <c r="E1046" s="7">
        <f t="shared" si="50"/>
        <v>1</v>
      </c>
      <c r="F1046" s="22" t="str">
        <f>IF(ISERROR(VLOOKUP($A1046,#REF!,3,0)),"x",VLOOKUP($A1046,#REF!,3,FALSE))</f>
        <v>x</v>
      </c>
      <c r="G1046" s="9">
        <f t="shared" si="51"/>
        <v>1</v>
      </c>
      <c r="H1046" s="13">
        <f t="shared" si="52"/>
        <v>645</v>
      </c>
    </row>
    <row r="1047" spans="1:8" x14ac:dyDescent="0.25">
      <c r="A1047" s="2" t="str">
        <f>"K3-2WW7B"</f>
        <v>K3-2WW7B</v>
      </c>
      <c r="B1047" s="2" t="str">
        <f>"1043AG3K K3 Miniled, LED 2x4W 70°/70° 3000K aluminiumgrau "</f>
        <v xml:space="preserve">1043AG3K K3 Miniled, LED 2x4W 70°/70° 3000K aluminiumgrau </v>
      </c>
      <c r="C1047" s="16">
        <v>305</v>
      </c>
      <c r="D1047" s="11">
        <v>275</v>
      </c>
      <c r="E1047" s="7">
        <f t="shared" si="50"/>
        <v>1</v>
      </c>
      <c r="F1047" s="22" t="str">
        <f>IF(ISERROR(VLOOKUP($A1047,#REF!,3,0)),"x",VLOOKUP($A1047,#REF!,3,FALSE))</f>
        <v>x</v>
      </c>
      <c r="G1047" s="9">
        <f t="shared" si="51"/>
        <v>1</v>
      </c>
      <c r="H1047" s="13">
        <f t="shared" si="52"/>
        <v>305</v>
      </c>
    </row>
    <row r="1048" spans="1:8" x14ac:dyDescent="0.25">
      <c r="A1048" s="2" t="str">
        <f>"K3-2WW7E"</f>
        <v>K3-2WW7E</v>
      </c>
      <c r="B1048" s="2" t="str">
        <f>"1042AG3K K3 Miniled, LED 2x3W 30°/30° 3000K Alugrau"</f>
        <v>1042AG3K K3 Miniled, LED 2x3W 30°/30° 3000K Alugrau</v>
      </c>
      <c r="C1048" s="16">
        <v>305</v>
      </c>
      <c r="D1048" s="11">
        <v>275</v>
      </c>
      <c r="E1048" s="7">
        <f t="shared" si="50"/>
        <v>1</v>
      </c>
      <c r="F1048" s="22" t="str">
        <f>IF(ISERROR(VLOOKUP($A1048,#REF!,3,0)),"x",VLOOKUP($A1048,#REF!,3,FALSE))</f>
        <v>x</v>
      </c>
      <c r="G1048" s="9">
        <f t="shared" si="51"/>
        <v>1</v>
      </c>
      <c r="H1048" s="13">
        <f t="shared" si="52"/>
        <v>305</v>
      </c>
    </row>
    <row r="1049" spans="1:8" x14ac:dyDescent="0.25">
      <c r="A1049" s="2" t="str">
        <f>"K3-2WW7EB"</f>
        <v>K3-2WW7EB</v>
      </c>
      <c r="B1049" s="2" t="str">
        <f>"1044GM3K K3 Miniled, LED 2x4W 30°/70° 3000K metallgrau"</f>
        <v>1044GM3K K3 Miniled, LED 2x4W 30°/70° 3000K metallgrau</v>
      </c>
      <c r="C1049" s="16">
        <v>305</v>
      </c>
      <c r="D1049" s="11">
        <v>275</v>
      </c>
      <c r="E1049" s="7">
        <f t="shared" si="50"/>
        <v>1</v>
      </c>
      <c r="F1049" s="22" t="str">
        <f>IF(ISERROR(VLOOKUP($A1049,#REF!,3,0)),"x",VLOOKUP($A1049,#REF!,3,FALSE))</f>
        <v>x</v>
      </c>
      <c r="G1049" s="9">
        <f t="shared" si="51"/>
        <v>1</v>
      </c>
      <c r="H1049" s="13">
        <f t="shared" si="52"/>
        <v>305</v>
      </c>
    </row>
    <row r="1050" spans="1:8" x14ac:dyDescent="0.25">
      <c r="A1050" s="2" t="str">
        <f>"K3-2WW7PB"</f>
        <v>K3-2WW7PB</v>
      </c>
      <c r="B1050" s="2" t="str">
        <f>"1122GM3K K3 Power, LED 2x11W 50°/50° 3000K metallgrau"</f>
        <v>1122GM3K K3 Power, LED 2x11W 50°/50° 3000K metallgrau</v>
      </c>
      <c r="C1050" s="16">
        <v>690</v>
      </c>
      <c r="D1050" s="11">
        <v>277</v>
      </c>
      <c r="E1050" s="7">
        <f t="shared" si="50"/>
        <v>1</v>
      </c>
      <c r="F1050" s="22" t="str">
        <f>IF(ISERROR(VLOOKUP($A1050,#REF!,3,0)),"x",VLOOKUP($A1050,#REF!,3,FALSE))</f>
        <v>x</v>
      </c>
      <c r="G1050" s="9">
        <f t="shared" si="51"/>
        <v>1</v>
      </c>
      <c r="H1050" s="13">
        <f t="shared" si="52"/>
        <v>690</v>
      </c>
    </row>
    <row r="1051" spans="1:8" x14ac:dyDescent="0.25">
      <c r="A1051" s="2" t="str">
        <f>"K3-2WW7PE"</f>
        <v>K3-2WW7PE</v>
      </c>
      <c r="B1051" s="2" t="str">
        <f>"1109GM3K K3 Power, LED 2x11W 20°/20° 3000K metallgrau"</f>
        <v>1109GM3K K3 Power, LED 2x11W 20°/20° 3000K metallgrau</v>
      </c>
      <c r="C1051" s="16">
        <v>690</v>
      </c>
      <c r="D1051" s="11">
        <v>277</v>
      </c>
      <c r="E1051" s="7">
        <f t="shared" si="50"/>
        <v>1</v>
      </c>
      <c r="F1051" s="22" t="str">
        <f>IF(ISERROR(VLOOKUP($A1051,#REF!,3,0)),"x",VLOOKUP($A1051,#REF!,3,FALSE))</f>
        <v>x</v>
      </c>
      <c r="G1051" s="9">
        <f t="shared" si="51"/>
        <v>1</v>
      </c>
      <c r="H1051" s="13">
        <f t="shared" si="52"/>
        <v>690</v>
      </c>
    </row>
    <row r="1052" spans="1:8" x14ac:dyDescent="0.25">
      <c r="A1052" s="2" t="str">
        <f>"K3-2WW7PEB"</f>
        <v>K3-2WW7PEB</v>
      </c>
      <c r="B1052" s="2" t="str">
        <f>"1122GM3K K3 Power, LED 2x11W 20°/50° 3000K metallgrau"</f>
        <v>1122GM3K K3 Power, LED 2x11W 20°/50° 3000K metallgrau</v>
      </c>
      <c r="C1052" s="16">
        <v>690</v>
      </c>
      <c r="D1052" s="11">
        <v>277</v>
      </c>
      <c r="E1052" s="7">
        <f t="shared" si="50"/>
        <v>1</v>
      </c>
      <c r="F1052" s="22" t="str">
        <f>IF(ISERROR(VLOOKUP($A1052,#REF!,3,0)),"x",VLOOKUP($A1052,#REF!,3,FALSE))</f>
        <v>x</v>
      </c>
      <c r="G1052" s="9">
        <f t="shared" si="51"/>
        <v>1</v>
      </c>
      <c r="H1052" s="13">
        <f t="shared" si="52"/>
        <v>690</v>
      </c>
    </row>
    <row r="1053" spans="1:8" x14ac:dyDescent="0.25">
      <c r="A1053" s="2" t="str">
        <f>"K3-2WW7WB"</f>
        <v>K3-2WW7WB</v>
      </c>
      <c r="B1053" s="2" t="str">
        <f>"1008AG3K K3 WRITER, LED 2x8W 70°/70° 3000K, Aluminiumgrau "</f>
        <v xml:space="preserve">1008AG3K K3 WRITER, LED 2x8W 70°/70° 3000K, Aluminiumgrau </v>
      </c>
      <c r="C1053" s="16">
        <v>645</v>
      </c>
      <c r="D1053" s="11">
        <v>281</v>
      </c>
      <c r="E1053" s="7">
        <f t="shared" si="50"/>
        <v>1</v>
      </c>
      <c r="F1053" s="22" t="str">
        <f>IF(ISERROR(VLOOKUP($A1053,#REF!,3,0)),"x",VLOOKUP($A1053,#REF!,3,FALSE))</f>
        <v>x</v>
      </c>
      <c r="G1053" s="9">
        <f t="shared" si="51"/>
        <v>1</v>
      </c>
      <c r="H1053" s="13">
        <f t="shared" si="52"/>
        <v>645</v>
      </c>
    </row>
    <row r="1054" spans="1:8" x14ac:dyDescent="0.25">
      <c r="A1054" s="2" t="str">
        <f>"K3-36NW1B"</f>
        <v>K3-36NW1B</v>
      </c>
      <c r="B1054" s="2" t="str">
        <f>"1147BI4K K3 Power, LED 2x18W 50°/50° 4000K weiß"</f>
        <v>1147BI4K K3 Power, LED 2x18W 50°/50° 4000K weiß</v>
      </c>
      <c r="C1054" s="16">
        <v>782.5</v>
      </c>
      <c r="D1054" s="11">
        <v>277</v>
      </c>
      <c r="E1054" s="7">
        <f t="shared" si="50"/>
        <v>1</v>
      </c>
      <c r="F1054" s="22" t="str">
        <f>IF(ISERROR(VLOOKUP($A1054,#REF!,3,0)),"x",VLOOKUP($A1054,#REF!,3,FALSE))</f>
        <v>x</v>
      </c>
      <c r="G1054" s="9">
        <f t="shared" si="51"/>
        <v>1</v>
      </c>
      <c r="H1054" s="13">
        <f t="shared" si="52"/>
        <v>782.5</v>
      </c>
    </row>
    <row r="1055" spans="1:8" x14ac:dyDescent="0.25">
      <c r="A1055" s="2" t="str">
        <f>"K3-36NW1E"</f>
        <v>K3-36NW1E</v>
      </c>
      <c r="B1055" s="2" t="str">
        <f>"1146BI4K K3 Power, LED 2x18W 20°/20° 4000K weiß"</f>
        <v>1146BI4K K3 Power, LED 2x18W 20°/20° 4000K weiß</v>
      </c>
      <c r="C1055" s="16">
        <v>782.5</v>
      </c>
      <c r="D1055" s="11">
        <v>277</v>
      </c>
      <c r="E1055" s="7">
        <f t="shared" si="50"/>
        <v>1</v>
      </c>
      <c r="F1055" s="22" t="str">
        <f>IF(ISERROR(VLOOKUP($A1055,#REF!,3,0)),"x",VLOOKUP($A1055,#REF!,3,FALSE))</f>
        <v>x</v>
      </c>
      <c r="G1055" s="9">
        <f t="shared" si="51"/>
        <v>1</v>
      </c>
      <c r="H1055" s="13">
        <f t="shared" si="52"/>
        <v>782.5</v>
      </c>
    </row>
    <row r="1056" spans="1:8" x14ac:dyDescent="0.25">
      <c r="A1056" s="2" t="str">
        <f>"K3-36NW1EB"</f>
        <v>K3-36NW1EB</v>
      </c>
      <c r="B1056" s="2" t="str">
        <f>"1147BI4K K3 Power, LED 2x18W 20°/50° 4000K weiß"</f>
        <v>1147BI4K K3 Power, LED 2x18W 20°/50° 4000K weiß</v>
      </c>
      <c r="C1056" s="16">
        <v>782.5</v>
      </c>
      <c r="D1056" s="11">
        <v>277</v>
      </c>
      <c r="E1056" s="7">
        <f t="shared" si="50"/>
        <v>1</v>
      </c>
      <c r="F1056" s="22" t="str">
        <f>IF(ISERROR(VLOOKUP($A1056,#REF!,3,0)),"x",VLOOKUP($A1056,#REF!,3,FALSE))</f>
        <v>x</v>
      </c>
      <c r="G1056" s="9">
        <f t="shared" si="51"/>
        <v>1</v>
      </c>
      <c r="H1056" s="13">
        <f t="shared" si="52"/>
        <v>782.5</v>
      </c>
    </row>
    <row r="1057" spans="1:8" x14ac:dyDescent="0.25">
      <c r="A1057" s="2" t="str">
        <f>"K3-36NW6B"</f>
        <v>K3-36NW6B</v>
      </c>
      <c r="B1057" s="2" t="str">
        <f>"1147GR4K K3 Power, LED 2x18W 50°/50° 4000K graphitgrau"</f>
        <v>1147GR4K K3 Power, LED 2x18W 50°/50° 4000K graphitgrau</v>
      </c>
      <c r="C1057" s="16">
        <v>782.5</v>
      </c>
      <c r="D1057" s="11">
        <v>277</v>
      </c>
      <c r="E1057" s="7">
        <f t="shared" si="50"/>
        <v>1</v>
      </c>
      <c r="F1057" s="22" t="str">
        <f>IF(ISERROR(VLOOKUP($A1057,#REF!,3,0)),"x",VLOOKUP($A1057,#REF!,3,FALSE))</f>
        <v>x</v>
      </c>
      <c r="G1057" s="9">
        <f t="shared" si="51"/>
        <v>1</v>
      </c>
      <c r="H1057" s="13">
        <f t="shared" si="52"/>
        <v>782.5</v>
      </c>
    </row>
    <row r="1058" spans="1:8" x14ac:dyDescent="0.25">
      <c r="A1058" s="2" t="str">
        <f>"K3-36NW6E"</f>
        <v>K3-36NW6E</v>
      </c>
      <c r="B1058" s="2" t="str">
        <f>"1146GR4K K3 Power, LED 2x18W 20°/20° 4000K graphitgrau"</f>
        <v>1146GR4K K3 Power, LED 2x18W 20°/20° 4000K graphitgrau</v>
      </c>
      <c r="C1058" s="16">
        <v>782.5</v>
      </c>
      <c r="D1058" s="11">
        <v>277</v>
      </c>
      <c r="E1058" s="7">
        <f t="shared" si="50"/>
        <v>1</v>
      </c>
      <c r="F1058" s="22" t="str">
        <f>IF(ISERROR(VLOOKUP($A1058,#REF!,3,0)),"x",VLOOKUP($A1058,#REF!,3,FALSE))</f>
        <v>x</v>
      </c>
      <c r="G1058" s="9">
        <f t="shared" si="51"/>
        <v>1</v>
      </c>
      <c r="H1058" s="13">
        <f t="shared" si="52"/>
        <v>782.5</v>
      </c>
    </row>
    <row r="1059" spans="1:8" x14ac:dyDescent="0.25">
      <c r="A1059" s="2" t="str">
        <f>"K3-36NW6EB"</f>
        <v>K3-36NW6EB</v>
      </c>
      <c r="B1059" s="2" t="str">
        <f>"1147GR4K K3 Power, LED 2x18W 20°/50° 4000K graphitgrau"</f>
        <v>1147GR4K K3 Power, LED 2x18W 20°/50° 4000K graphitgrau</v>
      </c>
      <c r="C1059" s="16">
        <v>782.5</v>
      </c>
      <c r="D1059" s="11">
        <v>277</v>
      </c>
      <c r="E1059" s="7">
        <f t="shared" si="50"/>
        <v>1</v>
      </c>
      <c r="F1059" s="22" t="str">
        <f>IF(ISERROR(VLOOKUP($A1059,#REF!,3,0)),"x",VLOOKUP($A1059,#REF!,3,FALSE))</f>
        <v>x</v>
      </c>
      <c r="G1059" s="9">
        <f t="shared" si="51"/>
        <v>1</v>
      </c>
      <c r="H1059" s="13">
        <f t="shared" si="52"/>
        <v>782.5</v>
      </c>
    </row>
    <row r="1060" spans="1:8" x14ac:dyDescent="0.25">
      <c r="A1060" s="2" t="str">
        <f>"K3-36NW7B"</f>
        <v>K3-36NW7B</v>
      </c>
      <c r="B1060" s="2" t="str">
        <f>"1147GM4K K3 Power, LED 2x18W 50°/50° 4000K metallgrau"</f>
        <v>1147GM4K K3 Power, LED 2x18W 50°/50° 4000K metallgrau</v>
      </c>
      <c r="C1060" s="16">
        <v>782.5</v>
      </c>
      <c r="D1060" s="11">
        <v>277</v>
      </c>
      <c r="E1060" s="7">
        <f t="shared" si="50"/>
        <v>1</v>
      </c>
      <c r="F1060" s="22" t="str">
        <f>IF(ISERROR(VLOOKUP($A1060,#REF!,3,0)),"x",VLOOKUP($A1060,#REF!,3,FALSE))</f>
        <v>x</v>
      </c>
      <c r="G1060" s="9">
        <f t="shared" si="51"/>
        <v>1</v>
      </c>
      <c r="H1060" s="13">
        <f t="shared" si="52"/>
        <v>782.5</v>
      </c>
    </row>
    <row r="1061" spans="1:8" x14ac:dyDescent="0.25">
      <c r="A1061" s="2" t="str">
        <f>"K3-36NW7E"</f>
        <v>K3-36NW7E</v>
      </c>
      <c r="B1061" s="2" t="str">
        <f>"1146GM4K K3 Power, LED 2x18W 20°/20° 4000K metallgrau"</f>
        <v>1146GM4K K3 Power, LED 2x18W 20°/20° 4000K metallgrau</v>
      </c>
      <c r="C1061" s="16">
        <v>782.5</v>
      </c>
      <c r="D1061" s="11">
        <v>277</v>
      </c>
      <c r="E1061" s="7">
        <f t="shared" si="50"/>
        <v>1</v>
      </c>
      <c r="F1061" s="22" t="str">
        <f>IF(ISERROR(VLOOKUP($A1061,#REF!,3,0)),"x",VLOOKUP($A1061,#REF!,3,FALSE))</f>
        <v>x</v>
      </c>
      <c r="G1061" s="9">
        <f t="shared" si="51"/>
        <v>1</v>
      </c>
      <c r="H1061" s="13">
        <f t="shared" si="52"/>
        <v>782.5</v>
      </c>
    </row>
    <row r="1062" spans="1:8" x14ac:dyDescent="0.25">
      <c r="A1062" s="2" t="str">
        <f>"K3-36NW7EB"</f>
        <v>K3-36NW7EB</v>
      </c>
      <c r="B1062" s="2" t="str">
        <f>"1147GM4K K3 Power, LED 2x18W 20°/50° 4000K metallgrau"</f>
        <v>1147GM4K K3 Power, LED 2x18W 20°/50° 4000K metallgrau</v>
      </c>
      <c r="C1062" s="16">
        <v>782.5</v>
      </c>
      <c r="D1062" s="11">
        <v>277</v>
      </c>
      <c r="E1062" s="7">
        <f t="shared" si="50"/>
        <v>1</v>
      </c>
      <c r="F1062" s="22" t="str">
        <f>IF(ISERROR(VLOOKUP($A1062,#REF!,3,0)),"x",VLOOKUP($A1062,#REF!,3,FALSE))</f>
        <v>x</v>
      </c>
      <c r="G1062" s="9">
        <f t="shared" si="51"/>
        <v>1</v>
      </c>
      <c r="H1062" s="13">
        <f t="shared" si="52"/>
        <v>782.5</v>
      </c>
    </row>
    <row r="1063" spans="1:8" x14ac:dyDescent="0.25">
      <c r="A1063" s="2" t="str">
        <f>"K3-36WW1B"</f>
        <v>K3-36WW1B</v>
      </c>
      <c r="B1063" s="2" t="str">
        <f>"1147BI3K K3 Power, LED 2x18W 50°/50° 3000K weiß"</f>
        <v>1147BI3K K3 Power, LED 2x18W 50°/50° 3000K weiß</v>
      </c>
      <c r="C1063" s="16">
        <v>782.5</v>
      </c>
      <c r="D1063" s="11">
        <v>277</v>
      </c>
      <c r="E1063" s="7">
        <f t="shared" si="50"/>
        <v>1</v>
      </c>
      <c r="F1063" s="22" t="str">
        <f>IF(ISERROR(VLOOKUP($A1063,#REF!,3,0)),"x",VLOOKUP($A1063,#REF!,3,FALSE))</f>
        <v>x</v>
      </c>
      <c r="G1063" s="9">
        <f t="shared" si="51"/>
        <v>1</v>
      </c>
      <c r="H1063" s="13">
        <f t="shared" si="52"/>
        <v>782.5</v>
      </c>
    </row>
    <row r="1064" spans="1:8" x14ac:dyDescent="0.25">
      <c r="A1064" s="2" t="str">
        <f>"K3-36WW1E"</f>
        <v>K3-36WW1E</v>
      </c>
      <c r="B1064" s="2" t="str">
        <f>"1146BI3K K3 Power, LED 2x18W 20°/20° 3000K weiß"</f>
        <v>1146BI3K K3 Power, LED 2x18W 20°/20° 3000K weiß</v>
      </c>
      <c r="C1064" s="16">
        <v>782.5</v>
      </c>
      <c r="D1064" s="11">
        <v>277</v>
      </c>
      <c r="E1064" s="7">
        <f t="shared" si="50"/>
        <v>1</v>
      </c>
      <c r="F1064" s="22" t="str">
        <f>IF(ISERROR(VLOOKUP($A1064,#REF!,3,0)),"x",VLOOKUP($A1064,#REF!,3,FALSE))</f>
        <v>x</v>
      </c>
      <c r="G1064" s="9">
        <f t="shared" si="51"/>
        <v>1</v>
      </c>
      <c r="H1064" s="13">
        <f t="shared" si="52"/>
        <v>782.5</v>
      </c>
    </row>
    <row r="1065" spans="1:8" x14ac:dyDescent="0.25">
      <c r="A1065" s="2" t="str">
        <f>"K3-36WW1EB"</f>
        <v>K3-36WW1EB</v>
      </c>
      <c r="B1065" s="2" t="str">
        <f>"1147BI3K K3 Power, LED 2x18W 20°/50° 3000K weiß"</f>
        <v>1147BI3K K3 Power, LED 2x18W 20°/50° 3000K weiß</v>
      </c>
      <c r="C1065" s="16">
        <v>782.5</v>
      </c>
      <c r="D1065" s="11">
        <v>277</v>
      </c>
      <c r="E1065" s="7">
        <f t="shared" si="50"/>
        <v>1</v>
      </c>
      <c r="F1065" s="22" t="str">
        <f>IF(ISERROR(VLOOKUP($A1065,#REF!,3,0)),"x",VLOOKUP($A1065,#REF!,3,FALSE))</f>
        <v>x</v>
      </c>
      <c r="G1065" s="9">
        <f t="shared" si="51"/>
        <v>1</v>
      </c>
      <c r="H1065" s="13">
        <f t="shared" si="52"/>
        <v>782.5</v>
      </c>
    </row>
    <row r="1066" spans="1:8" x14ac:dyDescent="0.25">
      <c r="A1066" s="2" t="str">
        <f>"K3-36WW6B"</f>
        <v>K3-36WW6B</v>
      </c>
      <c r="B1066" s="2" t="str">
        <f>"1147GR3K K3 Power, LED 2x18W 50°/50° 3000K graphitgrau"</f>
        <v>1147GR3K K3 Power, LED 2x18W 50°/50° 3000K graphitgrau</v>
      </c>
      <c r="C1066" s="16">
        <v>782.5</v>
      </c>
      <c r="D1066" s="11">
        <v>277</v>
      </c>
      <c r="E1066" s="7">
        <f t="shared" si="50"/>
        <v>1</v>
      </c>
      <c r="F1066" s="22" t="str">
        <f>IF(ISERROR(VLOOKUP($A1066,#REF!,3,0)),"x",VLOOKUP($A1066,#REF!,3,FALSE))</f>
        <v>x</v>
      </c>
      <c r="G1066" s="9">
        <f t="shared" si="51"/>
        <v>1</v>
      </c>
      <c r="H1066" s="13">
        <f t="shared" si="52"/>
        <v>782.5</v>
      </c>
    </row>
    <row r="1067" spans="1:8" x14ac:dyDescent="0.25">
      <c r="A1067" s="2" t="str">
        <f>"K3-36WW6E"</f>
        <v>K3-36WW6E</v>
      </c>
      <c r="B1067" s="2" t="str">
        <f>"1146GR3K K3 Power, LED 2x18W 20°/20° 3000K graphitgrau"</f>
        <v>1146GR3K K3 Power, LED 2x18W 20°/20° 3000K graphitgrau</v>
      </c>
      <c r="C1067" s="16">
        <v>782.5</v>
      </c>
      <c r="D1067" s="11">
        <v>277</v>
      </c>
      <c r="E1067" s="7">
        <f t="shared" si="50"/>
        <v>1</v>
      </c>
      <c r="F1067" s="22" t="str">
        <f>IF(ISERROR(VLOOKUP($A1067,#REF!,3,0)),"x",VLOOKUP($A1067,#REF!,3,FALSE))</f>
        <v>x</v>
      </c>
      <c r="G1067" s="9">
        <f t="shared" si="51"/>
        <v>1</v>
      </c>
      <c r="H1067" s="13">
        <f t="shared" si="52"/>
        <v>782.5</v>
      </c>
    </row>
    <row r="1068" spans="1:8" x14ac:dyDescent="0.25">
      <c r="A1068" s="2" t="str">
        <f>"K3-36WW6EB"</f>
        <v>K3-36WW6EB</v>
      </c>
      <c r="B1068" s="2" t="str">
        <f>"1147GR3K K3 Power, LED 2x18W 20°/50° 3000K graphitgrau"</f>
        <v>1147GR3K K3 Power, LED 2x18W 20°/50° 3000K graphitgrau</v>
      </c>
      <c r="C1068" s="16">
        <v>782.5</v>
      </c>
      <c r="D1068" s="11">
        <v>277</v>
      </c>
      <c r="E1068" s="7">
        <f t="shared" si="50"/>
        <v>1</v>
      </c>
      <c r="F1068" s="22" t="str">
        <f>IF(ISERROR(VLOOKUP($A1068,#REF!,3,0)),"x",VLOOKUP($A1068,#REF!,3,FALSE))</f>
        <v>x</v>
      </c>
      <c r="G1068" s="9">
        <f t="shared" si="51"/>
        <v>1</v>
      </c>
      <c r="H1068" s="13">
        <f t="shared" si="52"/>
        <v>782.5</v>
      </c>
    </row>
    <row r="1069" spans="1:8" x14ac:dyDescent="0.25">
      <c r="A1069" s="2" t="str">
        <f>"K3-36WW7B"</f>
        <v>K3-36WW7B</v>
      </c>
      <c r="B1069" s="2" t="str">
        <f>"1147GM3K K3 Power, LED 2x18W 50°/50° 3000K metallgrau"</f>
        <v>1147GM3K K3 Power, LED 2x18W 50°/50° 3000K metallgrau</v>
      </c>
      <c r="C1069" s="16">
        <v>782.5</v>
      </c>
      <c r="D1069" s="11">
        <v>277</v>
      </c>
      <c r="E1069" s="7">
        <f t="shared" si="50"/>
        <v>1</v>
      </c>
      <c r="F1069" s="22" t="str">
        <f>IF(ISERROR(VLOOKUP($A1069,#REF!,3,0)),"x",VLOOKUP($A1069,#REF!,3,FALSE))</f>
        <v>x</v>
      </c>
      <c r="G1069" s="9">
        <f t="shared" si="51"/>
        <v>1</v>
      </c>
      <c r="H1069" s="13">
        <f t="shared" si="52"/>
        <v>782.5</v>
      </c>
    </row>
    <row r="1070" spans="1:8" x14ac:dyDescent="0.25">
      <c r="A1070" s="2" t="str">
        <f>"K3-36WW7E"</f>
        <v>K3-36WW7E</v>
      </c>
      <c r="B1070" s="2" t="str">
        <f>"1146GM3K K3 Power, LED 2x18W 20°/20° 3000K metallgrau"</f>
        <v>1146GM3K K3 Power, LED 2x18W 20°/20° 3000K metallgrau</v>
      </c>
      <c r="C1070" s="16">
        <v>782.5</v>
      </c>
      <c r="D1070" s="11">
        <v>277</v>
      </c>
      <c r="E1070" s="7">
        <f t="shared" si="50"/>
        <v>1</v>
      </c>
      <c r="F1070" s="22" t="str">
        <f>IF(ISERROR(VLOOKUP($A1070,#REF!,3,0)),"x",VLOOKUP($A1070,#REF!,3,FALSE))</f>
        <v>x</v>
      </c>
      <c r="G1070" s="9">
        <f t="shared" si="51"/>
        <v>1</v>
      </c>
      <c r="H1070" s="13">
        <f t="shared" si="52"/>
        <v>782.5</v>
      </c>
    </row>
    <row r="1071" spans="1:8" x14ac:dyDescent="0.25">
      <c r="A1071" s="2" t="str">
        <f>"K3-36WW7EB"</f>
        <v>K3-36WW7EB</v>
      </c>
      <c r="B1071" s="2" t="str">
        <f>"1147GM3K K3 Power, LED 2x18W 20°/50° 3000K metallgrau"</f>
        <v>1147GM3K K3 Power, LED 2x18W 20°/50° 3000K metallgrau</v>
      </c>
      <c r="C1071" s="16">
        <v>782.5</v>
      </c>
      <c r="D1071" s="11">
        <v>277</v>
      </c>
      <c r="E1071" s="7">
        <f t="shared" si="50"/>
        <v>1</v>
      </c>
      <c r="F1071" s="22" t="str">
        <f>IF(ISERROR(VLOOKUP($A1071,#REF!,3,0)),"x",VLOOKUP($A1071,#REF!,3,FALSE))</f>
        <v>x</v>
      </c>
      <c r="G1071" s="9">
        <f t="shared" si="51"/>
        <v>1</v>
      </c>
      <c r="H1071" s="13">
        <f t="shared" si="52"/>
        <v>782.5</v>
      </c>
    </row>
    <row r="1072" spans="1:8" x14ac:dyDescent="0.25">
      <c r="A1072" s="2" t="str">
        <f>"K3-4NW1B"</f>
        <v>K3-4NW1B</v>
      </c>
      <c r="B1072" s="2" t="str">
        <f>"1046BI4K K3 Miniled, LED 4x4W 70° 4000K weiß"</f>
        <v>1046BI4K K3 Miniled, LED 4x4W 70° 4000K weiß</v>
      </c>
      <c r="C1072" s="16">
        <v>397.5</v>
      </c>
      <c r="D1072" s="11">
        <v>275</v>
      </c>
      <c r="E1072" s="7">
        <f t="shared" si="50"/>
        <v>1</v>
      </c>
      <c r="F1072" s="22" t="str">
        <f>IF(ISERROR(VLOOKUP($A1072,#REF!,3,0)),"x",VLOOKUP($A1072,#REF!,3,FALSE))</f>
        <v>x</v>
      </c>
      <c r="G1072" s="9">
        <f t="shared" si="51"/>
        <v>1</v>
      </c>
      <c r="H1072" s="13">
        <f t="shared" si="52"/>
        <v>397.5</v>
      </c>
    </row>
    <row r="1073" spans="1:8" x14ac:dyDescent="0.25">
      <c r="A1073" s="2" t="str">
        <f>"K3-4NW1E"</f>
        <v>K3-4NW1E</v>
      </c>
      <c r="B1073" s="2" t="str">
        <f>"1045BI4K K3 Miniled, LED 4x4W 30° 4000K weiß"</f>
        <v>1045BI4K K3 Miniled, LED 4x4W 30° 4000K weiß</v>
      </c>
      <c r="C1073" s="16">
        <v>397.5</v>
      </c>
      <c r="D1073" s="11">
        <v>275</v>
      </c>
      <c r="E1073" s="7">
        <f t="shared" si="50"/>
        <v>1</v>
      </c>
      <c r="F1073" s="22" t="str">
        <f>IF(ISERROR(VLOOKUP($A1073,#REF!,3,0)),"x",VLOOKUP($A1073,#REF!,3,FALSE))</f>
        <v>x</v>
      </c>
      <c r="G1073" s="9">
        <f t="shared" si="51"/>
        <v>1</v>
      </c>
      <c r="H1073" s="13">
        <f t="shared" si="52"/>
        <v>397.5</v>
      </c>
    </row>
    <row r="1074" spans="1:8" x14ac:dyDescent="0.25">
      <c r="A1074" s="2" t="str">
        <f>"K3-4NW1WB"</f>
        <v>K3-4NW1WB</v>
      </c>
      <c r="B1074" s="2" t="str">
        <f>"1022BI4K K3 WRITER, LED 4x8W 4x70° 4000K weiß"</f>
        <v>1022BI4K K3 WRITER, LED 4x8W 4x70° 4000K weiß</v>
      </c>
      <c r="C1074" s="16">
        <v>767.5</v>
      </c>
      <c r="D1074" s="11">
        <v>281</v>
      </c>
      <c r="E1074" s="7">
        <f t="shared" si="50"/>
        <v>1</v>
      </c>
      <c r="F1074" s="22" t="str">
        <f>IF(ISERROR(VLOOKUP($A1074,#REF!,3,0)),"x",VLOOKUP($A1074,#REF!,3,FALSE))</f>
        <v>x</v>
      </c>
      <c r="G1074" s="9">
        <f t="shared" si="51"/>
        <v>1</v>
      </c>
      <c r="H1074" s="13">
        <f t="shared" si="52"/>
        <v>767.5</v>
      </c>
    </row>
    <row r="1075" spans="1:8" x14ac:dyDescent="0.25">
      <c r="A1075" s="2" t="str">
        <f>"K3-4NW6B"</f>
        <v>K3-4NW6B</v>
      </c>
      <c r="B1075" s="2" t="str">
        <f>"1046GR4K K3 Miniled, LED 4x4W 70° 4000K graphitgrau"</f>
        <v>1046GR4K K3 Miniled, LED 4x4W 70° 4000K graphitgrau</v>
      </c>
      <c r="C1075" s="16">
        <v>397.5</v>
      </c>
      <c r="D1075" s="11">
        <v>275</v>
      </c>
      <c r="E1075" s="7">
        <f t="shared" si="50"/>
        <v>1</v>
      </c>
      <c r="F1075" s="22" t="str">
        <f>IF(ISERROR(VLOOKUP($A1075,#REF!,3,0)),"x",VLOOKUP($A1075,#REF!,3,FALSE))</f>
        <v>x</v>
      </c>
      <c r="G1075" s="9">
        <f t="shared" si="51"/>
        <v>1</v>
      </c>
      <c r="H1075" s="13">
        <f t="shared" si="52"/>
        <v>397.5</v>
      </c>
    </row>
    <row r="1076" spans="1:8" x14ac:dyDescent="0.25">
      <c r="A1076" s="2" t="str">
        <f>"K3-4NW6E"</f>
        <v>K3-4NW6E</v>
      </c>
      <c r="B1076" s="2" t="str">
        <f>"1045AN4K K3 Miniled, LED 4x4W 30° 4000K Anthrazit"</f>
        <v>1045AN4K K3 Miniled, LED 4x4W 30° 4000K Anthrazit</v>
      </c>
      <c r="C1076" s="16">
        <v>397.5</v>
      </c>
      <c r="D1076" s="11">
        <v>275</v>
      </c>
      <c r="E1076" s="7">
        <f t="shared" si="50"/>
        <v>1</v>
      </c>
      <c r="F1076" s="22" t="str">
        <f>IF(ISERROR(VLOOKUP($A1076,#REF!,3,0)),"x",VLOOKUP($A1076,#REF!,3,FALSE))</f>
        <v>x</v>
      </c>
      <c r="G1076" s="9">
        <f t="shared" si="51"/>
        <v>1</v>
      </c>
      <c r="H1076" s="13">
        <f t="shared" si="52"/>
        <v>397.5</v>
      </c>
    </row>
    <row r="1077" spans="1:8" x14ac:dyDescent="0.25">
      <c r="A1077" s="2" t="str">
        <f>"K3-4NW6WB"</f>
        <v>K3-4NW6WB</v>
      </c>
      <c r="B1077" s="2" t="str">
        <f>"1022AN4K K3 WRITER, LED 4x8W 4x70° 4000K Anthrazit"</f>
        <v>1022AN4K K3 WRITER, LED 4x8W 4x70° 4000K Anthrazit</v>
      </c>
      <c r="C1077" s="16">
        <v>767.5</v>
      </c>
      <c r="D1077" s="11">
        <v>281</v>
      </c>
      <c r="E1077" s="7">
        <f t="shared" si="50"/>
        <v>1</v>
      </c>
      <c r="F1077" s="22" t="str">
        <f>IF(ISERROR(VLOOKUP($A1077,#REF!,3,0)),"x",VLOOKUP($A1077,#REF!,3,FALSE))</f>
        <v>x</v>
      </c>
      <c r="G1077" s="9">
        <f t="shared" si="51"/>
        <v>1</v>
      </c>
      <c r="H1077" s="13">
        <f t="shared" si="52"/>
        <v>767.5</v>
      </c>
    </row>
    <row r="1078" spans="1:8" x14ac:dyDescent="0.25">
      <c r="A1078" s="2" t="str">
        <f>"K3-4NW7B"</f>
        <v>K3-4NW7B</v>
      </c>
      <c r="B1078" s="2" t="str">
        <f>"1046GM4K K3 Miniled, LED 4x4W 70° 4000K metallgrau"</f>
        <v>1046GM4K K3 Miniled, LED 4x4W 70° 4000K metallgrau</v>
      </c>
      <c r="C1078" s="16">
        <v>397.5</v>
      </c>
      <c r="D1078" s="11">
        <v>275</v>
      </c>
      <c r="E1078" s="7">
        <f t="shared" si="50"/>
        <v>1</v>
      </c>
      <c r="F1078" s="22" t="str">
        <f>IF(ISERROR(VLOOKUP($A1078,#REF!,3,0)),"x",VLOOKUP($A1078,#REF!,3,FALSE))</f>
        <v>x</v>
      </c>
      <c r="G1078" s="9">
        <f t="shared" si="51"/>
        <v>1</v>
      </c>
      <c r="H1078" s="13">
        <f t="shared" si="52"/>
        <v>397.5</v>
      </c>
    </row>
    <row r="1079" spans="1:8" x14ac:dyDescent="0.25">
      <c r="A1079" s="2" t="str">
        <f>"K3-4NW7E"</f>
        <v>K3-4NW7E</v>
      </c>
      <c r="B1079" s="2" t="str">
        <f>"1045GM4K K3 Miniled, LED 4x4W 30° 4000K metallgrau"</f>
        <v>1045GM4K K3 Miniled, LED 4x4W 30° 4000K metallgrau</v>
      </c>
      <c r="C1079" s="16">
        <v>397.5</v>
      </c>
      <c r="D1079" s="11">
        <v>275</v>
      </c>
      <c r="E1079" s="7">
        <f t="shared" si="50"/>
        <v>1</v>
      </c>
      <c r="F1079" s="22" t="str">
        <f>IF(ISERROR(VLOOKUP($A1079,#REF!,3,0)),"x",VLOOKUP($A1079,#REF!,3,FALSE))</f>
        <v>x</v>
      </c>
      <c r="G1079" s="9">
        <f t="shared" si="51"/>
        <v>1</v>
      </c>
      <c r="H1079" s="13">
        <f t="shared" si="52"/>
        <v>397.5</v>
      </c>
    </row>
    <row r="1080" spans="1:8" x14ac:dyDescent="0.25">
      <c r="A1080" s="2" t="str">
        <f>"K3-4NW7WB"</f>
        <v>K3-4NW7WB</v>
      </c>
      <c r="B1080" s="2" t="str">
        <f>"1022AG4K K3 WRITER, LED 4x8W 4x70° 4000K Aluminiumgrau "</f>
        <v xml:space="preserve">1022AG4K K3 WRITER, LED 4x8W 4x70° 4000K Aluminiumgrau </v>
      </c>
      <c r="C1080" s="16">
        <v>767.5</v>
      </c>
      <c r="D1080" s="11">
        <v>281</v>
      </c>
      <c r="E1080" s="7">
        <f t="shared" si="50"/>
        <v>1</v>
      </c>
      <c r="F1080" s="22" t="str">
        <f>IF(ISERROR(VLOOKUP($A1080,#REF!,3,0)),"x",VLOOKUP($A1080,#REF!,3,FALSE))</f>
        <v>x</v>
      </c>
      <c r="G1080" s="9">
        <f t="shared" si="51"/>
        <v>1</v>
      </c>
      <c r="H1080" s="13">
        <f t="shared" si="52"/>
        <v>767.5</v>
      </c>
    </row>
    <row r="1081" spans="1:8" x14ac:dyDescent="0.25">
      <c r="A1081" s="2" t="str">
        <f>"K3-4WW1B"</f>
        <v>K3-4WW1B</v>
      </c>
      <c r="B1081" s="2" t="str">
        <f>"1046BI3K K3 Miniled, LED 4x4W 70° 3000K weiß"</f>
        <v>1046BI3K K3 Miniled, LED 4x4W 70° 3000K weiß</v>
      </c>
      <c r="C1081" s="16">
        <v>397.5</v>
      </c>
      <c r="D1081" s="11">
        <v>275</v>
      </c>
      <c r="E1081" s="7">
        <f t="shared" si="50"/>
        <v>1</v>
      </c>
      <c r="F1081" s="22" t="str">
        <f>IF(ISERROR(VLOOKUP($A1081,#REF!,3,0)),"x",VLOOKUP($A1081,#REF!,3,FALSE))</f>
        <v>x</v>
      </c>
      <c r="G1081" s="9">
        <f t="shared" si="51"/>
        <v>1</v>
      </c>
      <c r="H1081" s="13">
        <f t="shared" si="52"/>
        <v>397.5</v>
      </c>
    </row>
    <row r="1082" spans="1:8" x14ac:dyDescent="0.25">
      <c r="A1082" s="2" t="str">
        <f>"K3-4WW1E"</f>
        <v>K3-4WW1E</v>
      </c>
      <c r="B1082" s="2" t="str">
        <f>"1045BI3K K3 Miniled, LED 4x4W 30° 3000K weiß"</f>
        <v>1045BI3K K3 Miniled, LED 4x4W 30° 3000K weiß</v>
      </c>
      <c r="C1082" s="16">
        <v>397.5</v>
      </c>
      <c r="D1082" s="11">
        <v>275</v>
      </c>
      <c r="E1082" s="7">
        <f t="shared" si="50"/>
        <v>1</v>
      </c>
      <c r="F1082" s="22" t="str">
        <f>IF(ISERROR(VLOOKUP($A1082,#REF!,3,0)),"x",VLOOKUP($A1082,#REF!,3,FALSE))</f>
        <v>x</v>
      </c>
      <c r="G1082" s="9">
        <f t="shared" si="51"/>
        <v>1</v>
      </c>
      <c r="H1082" s="13">
        <f t="shared" si="52"/>
        <v>397.5</v>
      </c>
    </row>
    <row r="1083" spans="1:8" x14ac:dyDescent="0.25">
      <c r="A1083" s="2" t="str">
        <f>"K3-4WW1WB"</f>
        <v>K3-4WW1WB</v>
      </c>
      <c r="B1083" s="2" t="str">
        <f>"1022BI3K K3 WRITER, LED 4x8W 4x70° 3000K weiß"</f>
        <v>1022BI3K K3 WRITER, LED 4x8W 4x70° 3000K weiß</v>
      </c>
      <c r="C1083" s="16">
        <v>767.5</v>
      </c>
      <c r="D1083" s="11">
        <v>281</v>
      </c>
      <c r="E1083" s="7">
        <f t="shared" si="50"/>
        <v>1</v>
      </c>
      <c r="F1083" s="22" t="str">
        <f>IF(ISERROR(VLOOKUP($A1083,#REF!,3,0)),"x",VLOOKUP($A1083,#REF!,3,FALSE))</f>
        <v>x</v>
      </c>
      <c r="G1083" s="9">
        <f t="shared" si="51"/>
        <v>1</v>
      </c>
      <c r="H1083" s="13">
        <f t="shared" si="52"/>
        <v>767.5</v>
      </c>
    </row>
    <row r="1084" spans="1:8" x14ac:dyDescent="0.25">
      <c r="A1084" s="2" t="str">
        <f>"K3-4WW6B"</f>
        <v>K3-4WW6B</v>
      </c>
      <c r="B1084" s="2" t="str">
        <f>"1046GR3K K3 Miniled, LED 4x4W 70° 3000K graphitgrau"</f>
        <v>1046GR3K K3 Miniled, LED 4x4W 70° 3000K graphitgrau</v>
      </c>
      <c r="C1084" s="16">
        <v>397.5</v>
      </c>
      <c r="D1084" s="11">
        <v>275</v>
      </c>
      <c r="E1084" s="7">
        <f t="shared" si="50"/>
        <v>1</v>
      </c>
      <c r="F1084" s="22" t="str">
        <f>IF(ISERROR(VLOOKUP($A1084,#REF!,3,0)),"x",VLOOKUP($A1084,#REF!,3,FALSE))</f>
        <v>x</v>
      </c>
      <c r="G1084" s="9">
        <f t="shared" si="51"/>
        <v>1</v>
      </c>
      <c r="H1084" s="13">
        <f t="shared" si="52"/>
        <v>397.5</v>
      </c>
    </row>
    <row r="1085" spans="1:8" x14ac:dyDescent="0.25">
      <c r="A1085" s="2" t="str">
        <f>"K3-4WW6E"</f>
        <v>K3-4WW6E</v>
      </c>
      <c r="B1085" s="2" t="str">
        <f>"1045GR3K K3 Miniled, LED 4x4W 30° 3000K graphitgrau"</f>
        <v>1045GR3K K3 Miniled, LED 4x4W 30° 3000K graphitgrau</v>
      </c>
      <c r="C1085" s="16">
        <v>397.5</v>
      </c>
      <c r="D1085" s="11">
        <v>275</v>
      </c>
      <c r="E1085" s="7">
        <f t="shared" si="50"/>
        <v>1</v>
      </c>
      <c r="F1085" s="22" t="str">
        <f>IF(ISERROR(VLOOKUP($A1085,#REF!,3,0)),"x",VLOOKUP($A1085,#REF!,3,FALSE))</f>
        <v>x</v>
      </c>
      <c r="G1085" s="9">
        <f t="shared" si="51"/>
        <v>1</v>
      </c>
      <c r="H1085" s="13">
        <f t="shared" si="52"/>
        <v>397.5</v>
      </c>
    </row>
    <row r="1086" spans="1:8" x14ac:dyDescent="0.25">
      <c r="A1086" s="2" t="str">
        <f>"K3-4WW6WB"</f>
        <v>K3-4WW6WB</v>
      </c>
      <c r="B1086" s="2" t="str">
        <f>"1022AN3K K3 WRITER, LED 4x8W 4x70° 3000K Anthrazit "</f>
        <v xml:space="preserve">1022AN3K K3 WRITER, LED 4x8W 4x70° 3000K Anthrazit </v>
      </c>
      <c r="C1086" s="16">
        <v>767.5</v>
      </c>
      <c r="D1086" s="11">
        <v>281</v>
      </c>
      <c r="E1086" s="7">
        <f t="shared" si="50"/>
        <v>1</v>
      </c>
      <c r="F1086" s="22" t="str">
        <f>IF(ISERROR(VLOOKUP($A1086,#REF!,3,0)),"x",VLOOKUP($A1086,#REF!,3,FALSE))</f>
        <v>x</v>
      </c>
      <c r="G1086" s="9">
        <f t="shared" si="51"/>
        <v>1</v>
      </c>
      <c r="H1086" s="13">
        <f t="shared" si="52"/>
        <v>767.5</v>
      </c>
    </row>
    <row r="1087" spans="1:8" x14ac:dyDescent="0.25">
      <c r="A1087" s="2" t="str">
        <f>"K3-4WW7B"</f>
        <v>K3-4WW7B</v>
      </c>
      <c r="B1087" s="2" t="str">
        <f>"1046GM3K K3 Miniled, LED 4x4W 70° 3000K metallgrau"</f>
        <v>1046GM3K K3 Miniled, LED 4x4W 70° 3000K metallgrau</v>
      </c>
      <c r="C1087" s="16">
        <v>397.5</v>
      </c>
      <c r="D1087" s="11">
        <v>275</v>
      </c>
      <c r="E1087" s="7">
        <f t="shared" si="50"/>
        <v>1</v>
      </c>
      <c r="F1087" s="22" t="str">
        <f>IF(ISERROR(VLOOKUP($A1087,#REF!,3,0)),"x",VLOOKUP($A1087,#REF!,3,FALSE))</f>
        <v>x</v>
      </c>
      <c r="G1087" s="9">
        <f t="shared" si="51"/>
        <v>1</v>
      </c>
      <c r="H1087" s="13">
        <f t="shared" si="52"/>
        <v>397.5</v>
      </c>
    </row>
    <row r="1088" spans="1:8" x14ac:dyDescent="0.25">
      <c r="A1088" s="2" t="str">
        <f>"K3-4WW7E"</f>
        <v>K3-4WW7E</v>
      </c>
      <c r="B1088" s="2" t="str">
        <f>"1045GM3K K3 Miniled, LED 4x4W 30° 3000K metallgrau"</f>
        <v>1045GM3K K3 Miniled, LED 4x4W 30° 3000K metallgrau</v>
      </c>
      <c r="C1088" s="16">
        <v>397.5</v>
      </c>
      <c r="D1088" s="11">
        <v>275</v>
      </c>
      <c r="E1088" s="7">
        <f t="shared" si="50"/>
        <v>1</v>
      </c>
      <c r="F1088" s="22" t="str">
        <f>IF(ISERROR(VLOOKUP($A1088,#REF!,3,0)),"x",VLOOKUP($A1088,#REF!,3,FALSE))</f>
        <v>x</v>
      </c>
      <c r="G1088" s="9">
        <f t="shared" si="51"/>
        <v>1</v>
      </c>
      <c r="H1088" s="13">
        <f t="shared" si="52"/>
        <v>397.5</v>
      </c>
    </row>
    <row r="1089" spans="1:8" x14ac:dyDescent="0.25">
      <c r="A1089" s="2" t="str">
        <f>"K3-4WW7WB"</f>
        <v>K3-4WW7WB</v>
      </c>
      <c r="B1089" s="2" t="str">
        <f>"1022AG3K K3 WRITER, LED 4x8W 4x70° 3000K Aluminiumgrau "</f>
        <v xml:space="preserve">1022AG3K K3 WRITER, LED 4x8W 4x70° 3000K Aluminiumgrau </v>
      </c>
      <c r="C1089" s="16">
        <v>767.5</v>
      </c>
      <c r="D1089" s="11">
        <v>281</v>
      </c>
      <c r="E1089" s="7">
        <f t="shared" si="50"/>
        <v>1</v>
      </c>
      <c r="F1089" s="22" t="str">
        <f>IF(ISERROR(VLOOKUP($A1089,#REF!,3,0)),"x",VLOOKUP($A1089,#REF!,3,FALSE))</f>
        <v>x</v>
      </c>
      <c r="G1089" s="9">
        <f t="shared" si="51"/>
        <v>1</v>
      </c>
      <c r="H1089" s="13">
        <f t="shared" si="52"/>
        <v>767.5</v>
      </c>
    </row>
    <row r="1090" spans="1:8" x14ac:dyDescent="0.25">
      <c r="A1090" s="2" t="str">
        <f>"LA-40N"</f>
        <v>LA-40N</v>
      </c>
      <c r="B1090" s="2" t="str">
        <f>"LA-40 UniCompactAdapter, inkl. Montagenippel, verkehrsweiß RAL 9016"</f>
        <v>LA-40 UniCompactAdapter, inkl. Montagenippel, verkehrsweiß RAL 9016</v>
      </c>
      <c r="C1090" s="16">
        <v>29.75</v>
      </c>
      <c r="D1090" s="11">
        <v>54</v>
      </c>
      <c r="E1090" s="7">
        <f t="shared" si="50"/>
        <v>1</v>
      </c>
      <c r="F1090" s="22" t="str">
        <f>IF(ISERROR(VLOOKUP($A1090,#REF!,3,0)),"x",VLOOKUP($A1090,#REF!,3,FALSE))</f>
        <v>x</v>
      </c>
      <c r="G1090" s="9">
        <f t="shared" si="51"/>
        <v>1</v>
      </c>
      <c r="H1090" s="13">
        <f t="shared" si="52"/>
        <v>29.75</v>
      </c>
    </row>
    <row r="1091" spans="1:8" x14ac:dyDescent="0.25">
      <c r="A1091" s="2" t="str">
        <f>"LA-40SW"</f>
        <v>LA-40SW</v>
      </c>
      <c r="B1091" s="2" t="str">
        <f>"LA-40 UniCompactAdapter, inkl. Montagenippel, schwarz"</f>
        <v>LA-40 UniCompactAdapter, inkl. Montagenippel, schwarz</v>
      </c>
      <c r="C1091" s="16">
        <v>29.75</v>
      </c>
      <c r="D1091" s="11">
        <v>54</v>
      </c>
      <c r="E1091" s="7">
        <f t="shared" ref="E1091:E1154" si="53">G1091</f>
        <v>1</v>
      </c>
      <c r="F1091" s="22" t="str">
        <f>IF(ISERROR(VLOOKUP($A1091,#REF!,3,0)),"x",VLOOKUP($A1091,#REF!,3,FALSE))</f>
        <v>x</v>
      </c>
      <c r="G1091" s="9">
        <f t="shared" ref="G1091:G1154" si="54">IF(C1091&lt;F1091,1,IF(C1091&gt;F1091,-1,0))</f>
        <v>1</v>
      </c>
      <c r="H1091" s="13">
        <f t="shared" si="52"/>
        <v>29.75</v>
      </c>
    </row>
    <row r="1092" spans="1:8" x14ac:dyDescent="0.25">
      <c r="A1092" s="2" t="str">
        <f>"LA-50N"</f>
        <v>LA-50N</v>
      </c>
      <c r="B1092" s="2" t="str">
        <f>"Multi-Adapter, mit Datenbus-Option, max. Belastung 50N, verkehrsweiß"</f>
        <v>Multi-Adapter, mit Datenbus-Option, max. Belastung 50N, verkehrsweiß</v>
      </c>
      <c r="C1092" s="16">
        <v>18.25</v>
      </c>
      <c r="D1092" s="11">
        <v>54</v>
      </c>
      <c r="E1092" s="7">
        <f t="shared" si="53"/>
        <v>1</v>
      </c>
      <c r="F1092" s="22" t="str">
        <f>IF(ISERROR(VLOOKUP($A1092,#REF!,3,0)),"x",VLOOKUP($A1092,#REF!,3,FALSE))</f>
        <v>x</v>
      </c>
      <c r="G1092" s="9">
        <f t="shared" si="54"/>
        <v>1</v>
      </c>
      <c r="H1092" s="13">
        <f t="shared" si="52"/>
        <v>18.25</v>
      </c>
    </row>
    <row r="1093" spans="1:8" x14ac:dyDescent="0.25">
      <c r="A1093" s="2" t="str">
        <f>"LA-50SI"</f>
        <v>LA-50SI</v>
      </c>
      <c r="B1093" s="2" t="str">
        <f>"Multi-Adapter, mit Datenbus-Option, max.Belastung 50N, silber"</f>
        <v>Multi-Adapter, mit Datenbus-Option, max.Belastung 50N, silber</v>
      </c>
      <c r="C1093" s="16">
        <v>28.75</v>
      </c>
      <c r="D1093" s="11">
        <v>54</v>
      </c>
      <c r="E1093" s="7">
        <f t="shared" si="53"/>
        <v>1</v>
      </c>
      <c r="F1093" s="22" t="str">
        <f>IF(ISERROR(VLOOKUP($A1093,#REF!,3,0)),"x",VLOOKUP($A1093,#REF!,3,FALSE))</f>
        <v>x</v>
      </c>
      <c r="G1093" s="9">
        <f t="shared" si="54"/>
        <v>1</v>
      </c>
      <c r="H1093" s="13">
        <f t="shared" ref="H1093:H1156" si="55">IF(F1093="x",C1093,F1093)</f>
        <v>28.75</v>
      </c>
    </row>
    <row r="1094" spans="1:8" x14ac:dyDescent="0.25">
      <c r="A1094" s="2" t="str">
        <f>"LA-50SW"</f>
        <v>LA-50SW</v>
      </c>
      <c r="B1094" s="2" t="str">
        <f>"Multi-Adapter, mit Datenbus-Option, max.Belastung 50N, schwarz"</f>
        <v>Multi-Adapter, mit Datenbus-Option, max.Belastung 50N, schwarz</v>
      </c>
      <c r="C1094" s="16">
        <v>18.25</v>
      </c>
      <c r="D1094" s="11">
        <v>54</v>
      </c>
      <c r="E1094" s="7">
        <f t="shared" si="53"/>
        <v>1</v>
      </c>
      <c r="F1094" s="22" t="str">
        <f>IF(ISERROR(VLOOKUP($A1094,#REF!,3,0)),"x",VLOOKUP($A1094,#REF!,3,FALSE))</f>
        <v>x</v>
      </c>
      <c r="G1094" s="9">
        <f t="shared" si="54"/>
        <v>1</v>
      </c>
      <c r="H1094" s="13">
        <f t="shared" si="55"/>
        <v>18.25</v>
      </c>
    </row>
    <row r="1095" spans="1:8" x14ac:dyDescent="0.25">
      <c r="A1095" s="2" t="str">
        <f>"LC-100W24VSC-SNC"</f>
        <v>LC-100W24VSC-SNC</v>
      </c>
      <c r="B1095" s="2" t="str">
        <f>"LC 100W 24V SC-SNC"</f>
        <v>LC 100W 24V SC-SNC</v>
      </c>
      <c r="C1095" s="16">
        <v>50</v>
      </c>
      <c r="D1095" s="11">
        <v>373</v>
      </c>
      <c r="E1095" s="7">
        <f t="shared" si="53"/>
        <v>1</v>
      </c>
      <c r="F1095" s="22" t="str">
        <f>IF(ISERROR(VLOOKUP($A1095,#REF!,3,0)),"x",VLOOKUP($A1095,#REF!,3,FALSE))</f>
        <v>x</v>
      </c>
      <c r="G1095" s="9">
        <f t="shared" si="54"/>
        <v>1</v>
      </c>
      <c r="H1095" s="13">
        <f t="shared" si="55"/>
        <v>50</v>
      </c>
    </row>
    <row r="1096" spans="1:8" x14ac:dyDescent="0.25">
      <c r="A1096" s="2" t="str">
        <f>"LC-10W350SR"</f>
        <v>LC-10W350SR</v>
      </c>
      <c r="B1096" s="2" t="str">
        <f>"LC 10W 350mA fixC SR SNC"</f>
        <v>LC 10W 350mA fixC SR SNC</v>
      </c>
      <c r="C1096" s="16">
        <v>10.5</v>
      </c>
      <c r="D1096" s="11">
        <v>370</v>
      </c>
      <c r="E1096" s="7">
        <f t="shared" si="53"/>
        <v>1</v>
      </c>
      <c r="F1096" s="22" t="str">
        <f>IF(ISERROR(VLOOKUP($A1096,#REF!,3,0)),"x",VLOOKUP($A1096,#REF!,3,FALSE))</f>
        <v>x</v>
      </c>
      <c r="G1096" s="9">
        <f t="shared" si="54"/>
        <v>1</v>
      </c>
      <c r="H1096" s="13">
        <f t="shared" si="55"/>
        <v>10.5</v>
      </c>
    </row>
    <row r="1097" spans="1:8" x14ac:dyDescent="0.25">
      <c r="A1097" s="2" t="str">
        <f>"LC-10W500SR"</f>
        <v>LC-10W500SR</v>
      </c>
      <c r="B1097" s="2" t="str">
        <f>"LED Netzteil 10W 500mA"</f>
        <v>LED Netzteil 10W 500mA</v>
      </c>
      <c r="C1097" s="16">
        <v>11.5</v>
      </c>
      <c r="D1097" s="11">
        <v>370</v>
      </c>
      <c r="E1097" s="7">
        <f t="shared" si="53"/>
        <v>1</v>
      </c>
      <c r="F1097" s="22" t="str">
        <f>IF(ISERROR(VLOOKUP($A1097,#REF!,3,0)),"x",VLOOKUP($A1097,#REF!,3,FALSE))</f>
        <v>x</v>
      </c>
      <c r="G1097" s="9">
        <f t="shared" si="54"/>
        <v>1</v>
      </c>
      <c r="H1097" s="13">
        <f t="shared" si="55"/>
        <v>11.5</v>
      </c>
    </row>
    <row r="1098" spans="1:8" x14ac:dyDescent="0.25">
      <c r="A1098" s="2" t="str">
        <f>"LC-10W700MA-FIXC-SR-SNC"</f>
        <v>LC-10W700MA-FIXC-SR-SNC</v>
      </c>
      <c r="B1098" s="2" t="str">
        <f>"LC 10W 700mA fixC SR SNC"</f>
        <v>LC 10W 700mA fixC SR SNC</v>
      </c>
      <c r="C1098" s="16">
        <v>10.5</v>
      </c>
      <c r="D1098" s="11">
        <v>370</v>
      </c>
      <c r="E1098" s="7">
        <f t="shared" si="53"/>
        <v>1</v>
      </c>
      <c r="F1098" s="22" t="str">
        <f>IF(ISERROR(VLOOKUP($A1098,#REF!,3,0)),"x",VLOOKUP($A1098,#REF!,3,FALSE))</f>
        <v>x</v>
      </c>
      <c r="G1098" s="9">
        <f t="shared" si="54"/>
        <v>1</v>
      </c>
      <c r="H1098" s="13">
        <f t="shared" si="55"/>
        <v>10.5</v>
      </c>
    </row>
    <row r="1099" spans="1:8" x14ac:dyDescent="0.25">
      <c r="A1099" s="2" t="str">
        <f>"LC-15W350MA-D"</f>
        <v>LC-15W350MA-D</v>
      </c>
      <c r="B1099" s="2" t="str">
        <f>"LC 15W 350mA 42V fixC pc SR SNC2"</f>
        <v>LC 15W 350mA 42V fixC pc SR SNC2</v>
      </c>
      <c r="C1099" s="16">
        <v>16.25</v>
      </c>
      <c r="D1099" s="11">
        <v>372</v>
      </c>
      <c r="E1099" s="7">
        <f t="shared" si="53"/>
        <v>1</v>
      </c>
      <c r="F1099" s="22" t="str">
        <f>IF(ISERROR(VLOOKUP($A1099,#REF!,3,0)),"x",VLOOKUP($A1099,#REF!,3,FALSE))</f>
        <v>x</v>
      </c>
      <c r="G1099" s="9">
        <f t="shared" si="54"/>
        <v>1</v>
      </c>
      <c r="H1099" s="13">
        <f t="shared" si="55"/>
        <v>16.25</v>
      </c>
    </row>
    <row r="1100" spans="1:8" x14ac:dyDescent="0.25">
      <c r="A1100" s="2" t="str">
        <f>"LC-35W700/800/1050MA-FLEXC-SR"</f>
        <v>LC-35W700/800/1050MA-FLEXC-SR</v>
      </c>
      <c r="B1100" s="2" t="str">
        <f>"LC 35W 700/800/1050mA flexC SR ADV"</f>
        <v>LC 35W 700/800/1050mA flexC SR ADV</v>
      </c>
      <c r="C1100" s="16">
        <v>19</v>
      </c>
      <c r="D1100" s="11">
        <v>371</v>
      </c>
      <c r="E1100" s="7">
        <f t="shared" si="53"/>
        <v>1</v>
      </c>
      <c r="F1100" s="22" t="str">
        <f>IF(ISERROR(VLOOKUP($A1100,#REF!,3,0)),"x",VLOOKUP($A1100,#REF!,3,FALSE))</f>
        <v>x</v>
      </c>
      <c r="G1100" s="9">
        <f t="shared" si="54"/>
        <v>1</v>
      </c>
      <c r="H1100" s="13">
        <f t="shared" si="55"/>
        <v>19</v>
      </c>
    </row>
    <row r="1101" spans="1:8" x14ac:dyDescent="0.25">
      <c r="A1101" s="2" t="str">
        <f>"LC-45W1050"</f>
        <v>LC-45W1050</v>
      </c>
      <c r="B1101" s="2" t="str">
        <f>"LC 45W 1050mA fixC C SNC"</f>
        <v>LC 45W 1050mA fixC C SNC</v>
      </c>
      <c r="C1101" s="16">
        <v>16.75</v>
      </c>
      <c r="D1101" s="11">
        <v>371</v>
      </c>
      <c r="E1101" s="7">
        <f t="shared" si="53"/>
        <v>1</v>
      </c>
      <c r="F1101" s="22" t="str">
        <f>IF(ISERROR(VLOOKUP($A1101,#REF!,3,0)),"x",VLOOKUP($A1101,#REF!,3,FALSE))</f>
        <v>x</v>
      </c>
      <c r="G1101" s="9">
        <f t="shared" si="54"/>
        <v>1</v>
      </c>
      <c r="H1101" s="13">
        <f t="shared" si="55"/>
        <v>16.75</v>
      </c>
    </row>
    <row r="1102" spans="1:8" x14ac:dyDescent="0.25">
      <c r="A1102" s="2" t="str">
        <f>"LC-45W500-1400MA-FLEXC-SR-EXC"</f>
        <v>LC-45W500-1400MA-FLEXC-SR-EXC</v>
      </c>
      <c r="B1102" s="2" t="str">
        <f>"Driver LC 45W 500–1400mA flexC SR EXC"</f>
        <v>Driver LC 45W 500–1400mA flexC SR EXC</v>
      </c>
      <c r="C1102" s="16">
        <v>36.75</v>
      </c>
      <c r="D1102" s="11">
        <v>371</v>
      </c>
      <c r="E1102" s="7">
        <f t="shared" si="53"/>
        <v>1</v>
      </c>
      <c r="F1102" s="22" t="str">
        <f>IF(ISERROR(VLOOKUP($A1102,#REF!,3,0)),"x",VLOOKUP($A1102,#REF!,3,FALSE))</f>
        <v>x</v>
      </c>
      <c r="G1102" s="9">
        <f t="shared" si="54"/>
        <v>1</v>
      </c>
      <c r="H1102" s="13">
        <f t="shared" si="55"/>
        <v>36.75</v>
      </c>
    </row>
    <row r="1103" spans="1:8" x14ac:dyDescent="0.25">
      <c r="A1103" s="2" t="str">
        <f>"LCBI-10W350D"</f>
        <v>LCBI-10W350D</v>
      </c>
      <c r="B1103" s="2" t="str">
        <f>"LCBI 10W 350mA PHASE-CUT/1-10V SR"</f>
        <v>LCBI 10W 350mA PHASE-CUT/1-10V SR</v>
      </c>
      <c r="C1103" s="16">
        <v>15.25</v>
      </c>
      <c r="D1103" s="11">
        <v>372</v>
      </c>
      <c r="E1103" s="7">
        <f t="shared" si="53"/>
        <v>1</v>
      </c>
      <c r="F1103" s="22" t="str">
        <f>IF(ISERROR(VLOOKUP($A1103,#REF!,3,0)),"x",VLOOKUP($A1103,#REF!,3,FALSE))</f>
        <v>x</v>
      </c>
      <c r="G1103" s="9">
        <f t="shared" si="54"/>
        <v>1</v>
      </c>
      <c r="H1103" s="13">
        <f t="shared" si="55"/>
        <v>15.25</v>
      </c>
    </row>
    <row r="1104" spans="1:8" x14ac:dyDescent="0.25">
      <c r="A1104" s="2" t="str">
        <f>"LEST-13NW1"</f>
        <v>LEST-13NW1</v>
      </c>
      <c r="B1104" s="2" t="str">
        <f>"Lichtleiste 13W, 4000K, 836mm"</f>
        <v>Lichtleiste 13W, 4000K, 836mm</v>
      </c>
      <c r="C1104" s="16">
        <v>56.25</v>
      </c>
      <c r="D1104" s="11">
        <v>87</v>
      </c>
      <c r="E1104" s="7">
        <f t="shared" si="53"/>
        <v>1</v>
      </c>
      <c r="F1104" s="22" t="str">
        <f>IF(ISERROR(VLOOKUP($A1104,#REF!,3,0)),"x",VLOOKUP($A1104,#REF!,3,FALSE))</f>
        <v>x</v>
      </c>
      <c r="G1104" s="9">
        <f t="shared" si="54"/>
        <v>1</v>
      </c>
      <c r="H1104" s="13">
        <f t="shared" si="55"/>
        <v>56.25</v>
      </c>
    </row>
    <row r="1105" spans="1:8" x14ac:dyDescent="0.25">
      <c r="A1105" s="2" t="str">
        <f>"LEST-13WW1"</f>
        <v>LEST-13WW1</v>
      </c>
      <c r="B1105" s="2" t="str">
        <f>"Lichtleiste 13W, 3000K, 836mm"</f>
        <v>Lichtleiste 13W, 3000K, 836mm</v>
      </c>
      <c r="C1105" s="16">
        <v>56.25</v>
      </c>
      <c r="D1105" s="11">
        <v>87</v>
      </c>
      <c r="E1105" s="7">
        <f t="shared" si="53"/>
        <v>1</v>
      </c>
      <c r="F1105" s="22" t="str">
        <f>IF(ISERROR(VLOOKUP($A1105,#REF!,3,0)),"x",VLOOKUP($A1105,#REF!,3,FALSE))</f>
        <v>x</v>
      </c>
      <c r="G1105" s="9">
        <f t="shared" si="54"/>
        <v>1</v>
      </c>
      <c r="H1105" s="13">
        <f t="shared" si="55"/>
        <v>56.25</v>
      </c>
    </row>
    <row r="1106" spans="1:8" x14ac:dyDescent="0.25">
      <c r="A1106" s="2" t="str">
        <f>"LEST-18NW1"</f>
        <v>LEST-18NW1</v>
      </c>
      <c r="B1106" s="2" t="str">
        <f>"Lichtleiste 18W, 4000K, 1136mm"</f>
        <v>Lichtleiste 18W, 4000K, 1136mm</v>
      </c>
      <c r="C1106" s="16">
        <v>73</v>
      </c>
      <c r="D1106" s="11">
        <v>87</v>
      </c>
      <c r="E1106" s="7">
        <f t="shared" si="53"/>
        <v>1</v>
      </c>
      <c r="F1106" s="22" t="str">
        <f>IF(ISERROR(VLOOKUP($A1106,#REF!,3,0)),"x",VLOOKUP($A1106,#REF!,3,FALSE))</f>
        <v>x</v>
      </c>
      <c r="G1106" s="9">
        <f t="shared" si="54"/>
        <v>1</v>
      </c>
      <c r="H1106" s="13">
        <f t="shared" si="55"/>
        <v>73</v>
      </c>
    </row>
    <row r="1107" spans="1:8" x14ac:dyDescent="0.25">
      <c r="A1107" s="2" t="str">
        <f>"LEST-18WW1"</f>
        <v>LEST-18WW1</v>
      </c>
      <c r="B1107" s="2" t="str">
        <f>"Lichtleiste 18W, 3000K, 1136mm"</f>
        <v>Lichtleiste 18W, 3000K, 1136mm</v>
      </c>
      <c r="C1107" s="16">
        <v>73</v>
      </c>
      <c r="D1107" s="11">
        <v>87</v>
      </c>
      <c r="E1107" s="7">
        <f t="shared" si="53"/>
        <v>1</v>
      </c>
      <c r="F1107" s="22" t="str">
        <f>IF(ISERROR(VLOOKUP($A1107,#REF!,3,0)),"x",VLOOKUP($A1107,#REF!,3,FALSE))</f>
        <v>x</v>
      </c>
      <c r="G1107" s="9">
        <f t="shared" si="54"/>
        <v>1</v>
      </c>
      <c r="H1107" s="13">
        <f t="shared" si="55"/>
        <v>73</v>
      </c>
    </row>
    <row r="1108" spans="1:8" x14ac:dyDescent="0.25">
      <c r="A1108" s="2" t="str">
        <f>"LEST-22NW1"</f>
        <v>LEST-22NW1</v>
      </c>
      <c r="B1108" s="2" t="str">
        <f>"Lichtleiste 22W, 4000K, 1436mm"</f>
        <v>Lichtleiste 22W, 4000K, 1436mm</v>
      </c>
      <c r="C1108" s="16">
        <v>83.5</v>
      </c>
      <c r="D1108" s="11">
        <v>87</v>
      </c>
      <c r="E1108" s="7">
        <f t="shared" si="53"/>
        <v>1</v>
      </c>
      <c r="F1108" s="22" t="str">
        <f>IF(ISERROR(VLOOKUP($A1108,#REF!,3,0)),"x",VLOOKUP($A1108,#REF!,3,FALSE))</f>
        <v>x</v>
      </c>
      <c r="G1108" s="9">
        <f t="shared" si="54"/>
        <v>1</v>
      </c>
      <c r="H1108" s="13">
        <f t="shared" si="55"/>
        <v>83.5</v>
      </c>
    </row>
    <row r="1109" spans="1:8" x14ac:dyDescent="0.25">
      <c r="A1109" s="2" t="str">
        <f>"LEST-22WW1"</f>
        <v>LEST-22WW1</v>
      </c>
      <c r="B1109" s="2" t="str">
        <f>"Lichtleiste 22W, 3000K, 1436mm"</f>
        <v>Lichtleiste 22W, 3000K, 1436mm</v>
      </c>
      <c r="C1109" s="16">
        <v>83.5</v>
      </c>
      <c r="D1109" s="11">
        <v>87</v>
      </c>
      <c r="E1109" s="7">
        <f t="shared" si="53"/>
        <v>1</v>
      </c>
      <c r="F1109" s="22" t="str">
        <f>IF(ISERROR(VLOOKUP($A1109,#REF!,3,0)),"x",VLOOKUP($A1109,#REF!,3,FALSE))</f>
        <v>x</v>
      </c>
      <c r="G1109" s="9">
        <f t="shared" si="54"/>
        <v>1</v>
      </c>
      <c r="H1109" s="13">
        <f t="shared" si="55"/>
        <v>83.5</v>
      </c>
    </row>
    <row r="1110" spans="1:8" x14ac:dyDescent="0.25">
      <c r="A1110" s="2" t="str">
        <f>"LIGHTR-60WW1D"</f>
        <v>LIGHTR-60WW1D</v>
      </c>
      <c r="B1110" s="2" t="str">
        <f>"LIGHTR, Decken-/ Pendelleuchte, LED 57W, 3000K,1320mA, 230V,weiß"</f>
        <v>LIGHTR, Decken-/ Pendelleuchte, LED 57W, 3000K,1320mA, 230V,weiß</v>
      </c>
      <c r="C1110" s="16">
        <v>877.5</v>
      </c>
      <c r="D1110" s="11">
        <v>149</v>
      </c>
      <c r="E1110" s="7">
        <f t="shared" si="53"/>
        <v>1</v>
      </c>
      <c r="F1110" s="22" t="str">
        <f>IF(ISERROR(VLOOKUP($A1110,#REF!,3,0)),"x",VLOOKUP($A1110,#REF!,3,FALSE))</f>
        <v>x</v>
      </c>
      <c r="G1110" s="9">
        <f t="shared" si="54"/>
        <v>1</v>
      </c>
      <c r="H1110" s="13">
        <f t="shared" si="55"/>
        <v>877.5</v>
      </c>
    </row>
    <row r="1111" spans="1:8" x14ac:dyDescent="0.25">
      <c r="A1111" s="2" t="str">
        <f>"LIGHTR-60WW2D"</f>
        <v>LIGHTR-60WW2D</v>
      </c>
      <c r="B1111" s="2" t="str">
        <f>"LIGHTR, Pendelleuchte, LED 57W, 3000K,1320mA, 1-10V, 230V,schwarz"</f>
        <v>LIGHTR, Pendelleuchte, LED 57W, 3000K,1320mA, 1-10V, 230V,schwarz</v>
      </c>
      <c r="C1111" s="16">
        <v>877.5</v>
      </c>
      <c r="D1111" s="11">
        <v>149</v>
      </c>
      <c r="E1111" s="7">
        <f t="shared" si="53"/>
        <v>1</v>
      </c>
      <c r="F1111" s="22" t="str">
        <f>IF(ISERROR(VLOOKUP($A1111,#REF!,3,0)),"x",VLOOKUP($A1111,#REF!,3,FALSE))</f>
        <v>x</v>
      </c>
      <c r="G1111" s="9">
        <f t="shared" si="54"/>
        <v>1</v>
      </c>
      <c r="H1111" s="13">
        <f t="shared" si="55"/>
        <v>877.5</v>
      </c>
    </row>
    <row r="1112" spans="1:8" x14ac:dyDescent="0.25">
      <c r="A1112" s="2" t="str">
        <f>"LIGHTR-81WW1D"</f>
        <v>LIGHTR-81WW1D</v>
      </c>
      <c r="B1112" s="2" t="str">
        <f>"LIGHTR, Decken-/ Pendelleuchte, LED 80W, 3000K, 1800mA, 230V,weiß"</f>
        <v>LIGHTR, Decken-/ Pendelleuchte, LED 80W, 3000K, 1800mA, 230V,weiß</v>
      </c>
      <c r="C1112" s="16">
        <v>1037.5</v>
      </c>
      <c r="D1112" s="11">
        <v>149</v>
      </c>
      <c r="E1112" s="7">
        <f t="shared" si="53"/>
        <v>1</v>
      </c>
      <c r="F1112" s="22" t="str">
        <f>IF(ISERROR(VLOOKUP($A1112,#REF!,3,0)),"x",VLOOKUP($A1112,#REF!,3,FALSE))</f>
        <v>x</v>
      </c>
      <c r="G1112" s="9">
        <f t="shared" si="54"/>
        <v>1</v>
      </c>
      <c r="H1112" s="13">
        <f t="shared" si="55"/>
        <v>1037.5</v>
      </c>
    </row>
    <row r="1113" spans="1:8" x14ac:dyDescent="0.25">
      <c r="A1113" s="2" t="str">
        <f>"LIGHTR-81WW2D"</f>
        <v>LIGHTR-81WW2D</v>
      </c>
      <c r="B1113" s="2" t="str">
        <f>"LIGHTR, Pendelleuchte, LED 80W, 3000K, 1750mA, 1-10V, 230V,schwarz"</f>
        <v>LIGHTR, Pendelleuchte, LED 80W, 3000K, 1750mA, 1-10V, 230V,schwarz</v>
      </c>
      <c r="C1113" s="16">
        <v>1037.5</v>
      </c>
      <c r="D1113" s="11">
        <v>149</v>
      </c>
      <c r="E1113" s="7">
        <f t="shared" si="53"/>
        <v>1</v>
      </c>
      <c r="F1113" s="22" t="str">
        <f>IF(ISERROR(VLOOKUP($A1113,#REF!,3,0)),"x",VLOOKUP($A1113,#REF!,3,FALSE))</f>
        <v>x</v>
      </c>
      <c r="G1113" s="9">
        <f t="shared" si="54"/>
        <v>1</v>
      </c>
      <c r="H1113" s="13">
        <f t="shared" si="55"/>
        <v>1037.5</v>
      </c>
    </row>
    <row r="1114" spans="1:8" x14ac:dyDescent="0.25">
      <c r="A1114" s="2" t="str">
        <f>"LKR-19NW-DD"</f>
        <v>LKR-19NW-DD</v>
      </c>
      <c r="B1114" s="2" t="str">
        <f>"Wand- u.  Deckenleuchte 19W LED, 4000K, IP40, D375mm "</f>
        <v xml:space="preserve">Wand- u.  Deckenleuchte 19W LED, 4000K, IP40, D375mm </v>
      </c>
      <c r="C1114" s="16">
        <v>160</v>
      </c>
      <c r="D1114" s="11">
        <v>181</v>
      </c>
      <c r="E1114" s="7">
        <f t="shared" si="53"/>
        <v>1</v>
      </c>
      <c r="F1114" s="22" t="str">
        <f>IF(ISERROR(VLOOKUP($A1114,#REF!,3,0)),"x",VLOOKUP($A1114,#REF!,3,FALSE))</f>
        <v>x</v>
      </c>
      <c r="G1114" s="9">
        <f t="shared" si="54"/>
        <v>1</v>
      </c>
      <c r="H1114" s="13">
        <f t="shared" si="55"/>
        <v>160</v>
      </c>
    </row>
    <row r="1115" spans="1:8" x14ac:dyDescent="0.25">
      <c r="A1115" s="2" t="str">
        <f>"LKR-19WW-DD"</f>
        <v>LKR-19WW-DD</v>
      </c>
      <c r="B1115" s="2" t="str">
        <f>"Wand- u.  Deckenleuchte 19W LED, 3000K, IP40, D375mm "</f>
        <v xml:space="preserve">Wand- u.  Deckenleuchte 19W LED, 3000K, IP40, D375mm </v>
      </c>
      <c r="C1115" s="16">
        <v>160</v>
      </c>
      <c r="D1115" s="11">
        <v>181</v>
      </c>
      <c r="E1115" s="7">
        <f t="shared" si="53"/>
        <v>1</v>
      </c>
      <c r="F1115" s="22" t="str">
        <f>IF(ISERROR(VLOOKUP($A1115,#REF!,3,0)),"x",VLOOKUP($A1115,#REF!,3,FALSE))</f>
        <v>x</v>
      </c>
      <c r="G1115" s="9">
        <f t="shared" si="54"/>
        <v>1</v>
      </c>
      <c r="H1115" s="13">
        <f t="shared" si="55"/>
        <v>160</v>
      </c>
    </row>
    <row r="1116" spans="1:8" x14ac:dyDescent="0.25">
      <c r="A1116" s="2" t="str">
        <f>"LKR-21NW"</f>
        <v>LKR-21NW</v>
      </c>
      <c r="B1116" s="2" t="str">
        <f>"Wand- u.  Deckenleuchte 21W LED, 4000K, IP40, D375mm "</f>
        <v xml:space="preserve">Wand- u.  Deckenleuchte 21W LED, 4000K, IP40, D375mm </v>
      </c>
      <c r="C1116" s="16">
        <v>100</v>
      </c>
      <c r="D1116" s="11">
        <v>181</v>
      </c>
      <c r="E1116" s="7">
        <f t="shared" si="53"/>
        <v>1</v>
      </c>
      <c r="F1116" s="22" t="str">
        <f>IF(ISERROR(VLOOKUP($A1116,#REF!,3,0)),"x",VLOOKUP($A1116,#REF!,3,FALSE))</f>
        <v>x</v>
      </c>
      <c r="G1116" s="9">
        <f t="shared" si="54"/>
        <v>1</v>
      </c>
      <c r="H1116" s="13">
        <f t="shared" si="55"/>
        <v>100</v>
      </c>
    </row>
    <row r="1117" spans="1:8" x14ac:dyDescent="0.25">
      <c r="A1117" s="2" t="str">
        <f>"LKR-21NW-N3"</f>
        <v>LKR-21NW-N3</v>
      </c>
      <c r="B1117" s="2" t="str">
        <f>"Wand- u.  Deckenleuchte 21W LED, 4000K, IP40, D375mm "</f>
        <v xml:space="preserve">Wand- u.  Deckenleuchte 21W LED, 4000K, IP40, D375mm </v>
      </c>
      <c r="C1117" s="16">
        <v>360</v>
      </c>
      <c r="D1117" s="11">
        <v>181</v>
      </c>
      <c r="E1117" s="7">
        <f t="shared" si="53"/>
        <v>1</v>
      </c>
      <c r="F1117" s="22" t="str">
        <f>IF(ISERROR(VLOOKUP($A1117,#REF!,3,0)),"x",VLOOKUP($A1117,#REF!,3,FALSE))</f>
        <v>x</v>
      </c>
      <c r="G1117" s="9">
        <f t="shared" si="54"/>
        <v>1</v>
      </c>
      <c r="H1117" s="13">
        <f t="shared" si="55"/>
        <v>360</v>
      </c>
    </row>
    <row r="1118" spans="1:8" x14ac:dyDescent="0.25">
      <c r="A1118" s="2" t="str">
        <f>"LKR-21NW-S"</f>
        <v>LKR-21NW-S</v>
      </c>
      <c r="B1118" s="2" t="str">
        <f>"Wand- u.  Deckenleuchte 21W LED, 4000K, IP40, D375mm "</f>
        <v xml:space="preserve">Wand- u.  Deckenleuchte 21W LED, 4000K, IP40, D375mm </v>
      </c>
      <c r="C1118" s="16">
        <v>168</v>
      </c>
      <c r="D1118" s="11">
        <v>181</v>
      </c>
      <c r="E1118" s="7">
        <f t="shared" si="53"/>
        <v>1</v>
      </c>
      <c r="F1118" s="22" t="str">
        <f>IF(ISERROR(VLOOKUP($A1118,#REF!,3,0)),"x",VLOOKUP($A1118,#REF!,3,FALSE))</f>
        <v>x</v>
      </c>
      <c r="G1118" s="9">
        <f t="shared" si="54"/>
        <v>1</v>
      </c>
      <c r="H1118" s="13">
        <f t="shared" si="55"/>
        <v>168</v>
      </c>
    </row>
    <row r="1119" spans="1:8" x14ac:dyDescent="0.25">
      <c r="A1119" s="2" t="str">
        <f>"LKR-21WW"</f>
        <v>LKR-21WW</v>
      </c>
      <c r="B1119" s="2" t="str">
        <f>"Wand- u.  Deckenleuchte 21W LED, 3000K, IP40, D375mm "</f>
        <v xml:space="preserve">Wand- u.  Deckenleuchte 21W LED, 3000K, IP40, D375mm </v>
      </c>
      <c r="C1119" s="16">
        <v>100</v>
      </c>
      <c r="D1119" s="11">
        <v>181</v>
      </c>
      <c r="E1119" s="7">
        <f t="shared" si="53"/>
        <v>1</v>
      </c>
      <c r="F1119" s="22" t="str">
        <f>IF(ISERROR(VLOOKUP($A1119,#REF!,3,0)),"x",VLOOKUP($A1119,#REF!,3,FALSE))</f>
        <v>x</v>
      </c>
      <c r="G1119" s="9">
        <f t="shared" si="54"/>
        <v>1</v>
      </c>
      <c r="H1119" s="13">
        <f t="shared" si="55"/>
        <v>100</v>
      </c>
    </row>
    <row r="1120" spans="1:8" x14ac:dyDescent="0.25">
      <c r="A1120" s="2" t="str">
        <f>"LKR-21WW-N3"</f>
        <v>LKR-21WW-N3</v>
      </c>
      <c r="B1120" s="2" t="str">
        <f>"Wand- u.  Deckenleuchte 21W LED, 3000K, IP40, D375mm "</f>
        <v xml:space="preserve">Wand- u.  Deckenleuchte 21W LED, 3000K, IP40, D375mm </v>
      </c>
      <c r="C1120" s="16">
        <v>360</v>
      </c>
      <c r="D1120" s="11">
        <v>181</v>
      </c>
      <c r="E1120" s="7">
        <f t="shared" si="53"/>
        <v>1</v>
      </c>
      <c r="F1120" s="22" t="str">
        <f>IF(ISERROR(VLOOKUP($A1120,#REF!,3,0)),"x",VLOOKUP($A1120,#REF!,3,FALSE))</f>
        <v>x</v>
      </c>
      <c r="G1120" s="9">
        <f t="shared" si="54"/>
        <v>1</v>
      </c>
      <c r="H1120" s="13">
        <f t="shared" si="55"/>
        <v>360</v>
      </c>
    </row>
    <row r="1121" spans="1:8" x14ac:dyDescent="0.25">
      <c r="A1121" s="2" t="str">
        <f>"LKR-21WW-S"</f>
        <v>LKR-21WW-S</v>
      </c>
      <c r="B1121" s="2" t="str">
        <f>"Wand- u.  Deckenleuchte 21W LED, 3000K, IP40, D375mm "</f>
        <v xml:space="preserve">Wand- u.  Deckenleuchte 21W LED, 3000K, IP40, D375mm </v>
      </c>
      <c r="C1121" s="16">
        <v>168</v>
      </c>
      <c r="D1121" s="11">
        <v>181</v>
      </c>
      <c r="E1121" s="7">
        <f t="shared" si="53"/>
        <v>1</v>
      </c>
      <c r="F1121" s="22" t="str">
        <f>IF(ISERROR(VLOOKUP($A1121,#REF!,3,0)),"x",VLOOKUP($A1121,#REF!,3,FALSE))</f>
        <v>x</v>
      </c>
      <c r="G1121" s="9">
        <f t="shared" si="54"/>
        <v>1</v>
      </c>
      <c r="H1121" s="13">
        <f t="shared" si="55"/>
        <v>168</v>
      </c>
    </row>
    <row r="1122" spans="1:8" x14ac:dyDescent="0.25">
      <c r="A1122" s="2" t="str">
        <f>"LLED-39-21NW1ML"</f>
        <v>LLED-39-21NW1ML</v>
      </c>
      <c r="B1122" s="2" t="str">
        <f>"LED Raster-Anbauleuchte, 21/39W, 4000K, DPR, UGR&lt;19, niedrige Bauform"</f>
        <v>LED Raster-Anbauleuchte, 21/39W, 4000K, DPR, UGR&lt;19, niedrige Bauform</v>
      </c>
      <c r="C1122" s="16">
        <v>220</v>
      </c>
      <c r="D1122" s="11">
        <v>195</v>
      </c>
      <c r="E1122" s="7">
        <f t="shared" si="53"/>
        <v>1</v>
      </c>
      <c r="F1122" s="22" t="str">
        <f>IF(ISERROR(VLOOKUP($A1122,#REF!,3,0)),"x",VLOOKUP($A1122,#REF!,3,FALSE))</f>
        <v>x</v>
      </c>
      <c r="G1122" s="9">
        <f t="shared" si="54"/>
        <v>1</v>
      </c>
      <c r="H1122" s="13">
        <f t="shared" si="55"/>
        <v>220</v>
      </c>
    </row>
    <row r="1123" spans="1:8" x14ac:dyDescent="0.25">
      <c r="A1123" s="2" t="str">
        <f>"LLED-39-21WW1ML"</f>
        <v>LLED-39-21WW1ML</v>
      </c>
      <c r="B1123" s="2" t="str">
        <f>"LED Raster-Anbauleuchte, 21/39W, 3000K, DPR, UGR&lt;19, niedrige Bauform"</f>
        <v>LED Raster-Anbauleuchte, 21/39W, 3000K, DPR, UGR&lt;19, niedrige Bauform</v>
      </c>
      <c r="C1123" s="16">
        <v>220</v>
      </c>
      <c r="D1123" s="11">
        <v>195</v>
      </c>
      <c r="E1123" s="7">
        <f t="shared" si="53"/>
        <v>1</v>
      </c>
      <c r="F1123" s="22" t="str">
        <f>IF(ISERROR(VLOOKUP($A1123,#REF!,3,0)),"x",VLOOKUP($A1123,#REF!,3,FALSE))</f>
        <v>x</v>
      </c>
      <c r="G1123" s="9">
        <f t="shared" si="54"/>
        <v>1</v>
      </c>
      <c r="H1123" s="13">
        <f t="shared" si="55"/>
        <v>220</v>
      </c>
    </row>
    <row r="1124" spans="1:8" x14ac:dyDescent="0.25">
      <c r="A1124" s="2" t="str">
        <f>"LLED-39NW1ML"</f>
        <v>LLED-39NW1ML</v>
      </c>
      <c r="B1124" s="2" t="str">
        <f>"LED Raster-Anbauleuchte, 39/18W, 4000K, DPR, UGR&lt;19, niedrige Bauform"</f>
        <v>LED Raster-Anbauleuchte, 39/18W, 4000K, DPR, UGR&lt;19, niedrige Bauform</v>
      </c>
      <c r="C1124" s="16">
        <v>187.5</v>
      </c>
      <c r="D1124" s="11">
        <v>195</v>
      </c>
      <c r="E1124" s="7">
        <f t="shared" si="53"/>
        <v>1</v>
      </c>
      <c r="F1124" s="22" t="str">
        <f>IF(ISERROR(VLOOKUP($A1124,#REF!,3,0)),"x",VLOOKUP($A1124,#REF!,3,FALSE))</f>
        <v>x</v>
      </c>
      <c r="G1124" s="9">
        <f t="shared" si="54"/>
        <v>1</v>
      </c>
      <c r="H1124" s="13">
        <f t="shared" si="55"/>
        <v>187.5</v>
      </c>
    </row>
    <row r="1125" spans="1:8" x14ac:dyDescent="0.25">
      <c r="A1125" s="2" t="str">
        <f>"LLED-39WW1ML"</f>
        <v>LLED-39WW1ML</v>
      </c>
      <c r="B1125" s="2" t="str">
        <f>"LED Raster-Anbauleuchte, 18/39W, 3000K, DPR, UGR&lt;19, niedrige Bauform"</f>
        <v>LED Raster-Anbauleuchte, 18/39W, 3000K, DPR, UGR&lt;19, niedrige Bauform</v>
      </c>
      <c r="C1125" s="16">
        <v>187.5</v>
      </c>
      <c r="D1125" s="11">
        <v>195</v>
      </c>
      <c r="E1125" s="7">
        <f t="shared" si="53"/>
        <v>1</v>
      </c>
      <c r="F1125" s="22" t="str">
        <f>IF(ISERROR(VLOOKUP($A1125,#REF!,3,0)),"x",VLOOKUP($A1125,#REF!,3,FALSE))</f>
        <v>x</v>
      </c>
      <c r="G1125" s="9">
        <f t="shared" si="54"/>
        <v>1</v>
      </c>
      <c r="H1125" s="13">
        <f t="shared" si="55"/>
        <v>187.5</v>
      </c>
    </row>
    <row r="1126" spans="1:8" x14ac:dyDescent="0.25">
      <c r="A1126" s="2" t="str">
        <f>"LLED-50NW1ML"</f>
        <v>LLED-50NW1ML</v>
      </c>
      <c r="B1126" s="2" t="str">
        <f>"LED Raster-Anbauleuchte, 50/24W, 4000K, DPR, UGR&lt;19, niedrige Bauform"</f>
        <v>LED Raster-Anbauleuchte, 50/24W, 4000K, DPR, UGR&lt;19, niedrige Bauform</v>
      </c>
      <c r="C1126" s="16">
        <v>191.25</v>
      </c>
      <c r="D1126" s="11">
        <v>195</v>
      </c>
      <c r="E1126" s="7">
        <f t="shared" si="53"/>
        <v>1</v>
      </c>
      <c r="F1126" s="22" t="str">
        <f>IF(ISERROR(VLOOKUP($A1126,#REF!,3,0)),"x",VLOOKUP($A1126,#REF!,3,FALSE))</f>
        <v>x</v>
      </c>
      <c r="G1126" s="9">
        <f t="shared" si="54"/>
        <v>1</v>
      </c>
      <c r="H1126" s="13">
        <f t="shared" si="55"/>
        <v>191.25</v>
      </c>
    </row>
    <row r="1127" spans="1:8" x14ac:dyDescent="0.25">
      <c r="A1127" s="2" t="str">
        <f>"LLED-50WW1ML"</f>
        <v>LLED-50WW1ML</v>
      </c>
      <c r="B1127" s="2" t="str">
        <f>"LED Raster-Anbauleuchte, 50/24W, 3000K, DPR, UGR&lt;19, niedrige Bauform"</f>
        <v>LED Raster-Anbauleuchte, 50/24W, 3000K, DPR, UGR&lt;19, niedrige Bauform</v>
      </c>
      <c r="C1127" s="16">
        <v>191.25</v>
      </c>
      <c r="D1127" s="11">
        <v>195</v>
      </c>
      <c r="E1127" s="7">
        <f t="shared" si="53"/>
        <v>1</v>
      </c>
      <c r="F1127" s="22" t="str">
        <f>IF(ISERROR(VLOOKUP($A1127,#REF!,3,0)),"x",VLOOKUP($A1127,#REF!,3,FALSE))</f>
        <v>x</v>
      </c>
      <c r="G1127" s="9">
        <f t="shared" si="54"/>
        <v>1</v>
      </c>
      <c r="H1127" s="13">
        <f t="shared" si="55"/>
        <v>191.25</v>
      </c>
    </row>
    <row r="1128" spans="1:8" x14ac:dyDescent="0.25">
      <c r="A1128" s="2" t="str">
        <f>"LLED-58NW1ML"</f>
        <v>LLED-58NW1ML</v>
      </c>
      <c r="B1128" s="2" t="str">
        <f>"LED Raster-Anbauleuchte, 58/33W, 4000K, DPR, UGR&lt;19, niedrige Bauform"</f>
        <v>LED Raster-Anbauleuchte, 58/33W, 4000K, DPR, UGR&lt;19, niedrige Bauform</v>
      </c>
      <c r="C1128" s="16">
        <v>249</v>
      </c>
      <c r="D1128" s="11">
        <v>195</v>
      </c>
      <c r="E1128" s="7">
        <f t="shared" si="53"/>
        <v>1</v>
      </c>
      <c r="F1128" s="22" t="str">
        <f>IF(ISERROR(VLOOKUP($A1128,#REF!,3,0)),"x",VLOOKUP($A1128,#REF!,3,FALSE))</f>
        <v>x</v>
      </c>
      <c r="G1128" s="9">
        <f t="shared" si="54"/>
        <v>1</v>
      </c>
      <c r="H1128" s="13">
        <f t="shared" si="55"/>
        <v>249</v>
      </c>
    </row>
    <row r="1129" spans="1:8" x14ac:dyDescent="0.25">
      <c r="A1129" s="2" t="str">
        <f>"LLED-58WW1ML"</f>
        <v>LLED-58WW1ML</v>
      </c>
      <c r="B1129" s="2" t="str">
        <f>"LED Raster-Anbauleuchte, 58/33W, 3000K, DPR, UGR&lt;19, niedrige Bauform"</f>
        <v>LED Raster-Anbauleuchte, 58/33W, 3000K, DPR, UGR&lt;19, niedrige Bauform</v>
      </c>
      <c r="C1129" s="16">
        <v>249</v>
      </c>
      <c r="D1129" s="11">
        <v>195</v>
      </c>
      <c r="E1129" s="7">
        <f t="shared" si="53"/>
        <v>1</v>
      </c>
      <c r="F1129" s="22" t="str">
        <f>IF(ISERROR(VLOOKUP($A1129,#REF!,3,0)),"x",VLOOKUP($A1129,#REF!,3,FALSE))</f>
        <v>x</v>
      </c>
      <c r="G1129" s="9">
        <f t="shared" si="54"/>
        <v>1</v>
      </c>
      <c r="H1129" s="13">
        <f t="shared" si="55"/>
        <v>249</v>
      </c>
    </row>
    <row r="1130" spans="1:8" x14ac:dyDescent="0.25">
      <c r="A1130" s="2" t="str">
        <f>"LLP-13RWW1"</f>
        <v>LLP-13RWW1</v>
      </c>
      <c r="B1130" s="2" t="str">
        <f>"Pendelleuchte, 13x7W LED, rund, Glas  D100mm, weiß 3000K, 220-240V"</f>
        <v>Pendelleuchte, 13x7W LED, rund, Glas  D100mm, weiß 3000K, 220-240V</v>
      </c>
      <c r="C1130" s="16">
        <v>1497.5</v>
      </c>
      <c r="D1130" s="11">
        <v>157</v>
      </c>
      <c r="E1130" s="7">
        <f t="shared" si="53"/>
        <v>1</v>
      </c>
      <c r="F1130" s="22" t="str">
        <f>IF(ISERROR(VLOOKUP($A1130,#REF!,3,0)),"x",VLOOKUP($A1130,#REF!,3,FALSE))</f>
        <v>x</v>
      </c>
      <c r="G1130" s="9">
        <f t="shared" si="54"/>
        <v>1</v>
      </c>
      <c r="H1130" s="13">
        <f t="shared" si="55"/>
        <v>1497.5</v>
      </c>
    </row>
    <row r="1131" spans="1:8" x14ac:dyDescent="0.25">
      <c r="A1131" s="2" t="str">
        <f>"LLP-13RWW2"</f>
        <v>LLP-13RWW2</v>
      </c>
      <c r="B1131" s="2" t="str">
        <f>"Pendelleuchte, 13x7W LED, rund, Glas  D100mm, schwarz, 3000K, 220-240V"</f>
        <v>Pendelleuchte, 13x7W LED, rund, Glas  D100mm, schwarz, 3000K, 220-240V</v>
      </c>
      <c r="C1131" s="16">
        <v>1497.5</v>
      </c>
      <c r="D1131" s="11">
        <v>157</v>
      </c>
      <c r="E1131" s="7">
        <f t="shared" si="53"/>
        <v>1</v>
      </c>
      <c r="F1131" s="22" t="str">
        <f>IF(ISERROR(VLOOKUP($A1131,#REF!,3,0)),"x",VLOOKUP($A1131,#REF!,3,FALSE))</f>
        <v>x</v>
      </c>
      <c r="G1131" s="9">
        <f t="shared" si="54"/>
        <v>1</v>
      </c>
      <c r="H1131" s="13">
        <f t="shared" si="55"/>
        <v>1497.5</v>
      </c>
    </row>
    <row r="1132" spans="1:8" x14ac:dyDescent="0.25">
      <c r="A1132" s="2" t="str">
        <f>"LLP-13RWW3"</f>
        <v>LLP-13RWW3</v>
      </c>
      <c r="B1132" s="2" t="str">
        <f>"Pendelleuchte, 13x7W LED, rund, Glas  D100mm, schwarz, 3000K, 220-240V"</f>
        <v>Pendelleuchte, 13x7W LED, rund, Glas  D100mm, schwarz, 3000K, 220-240V</v>
      </c>
      <c r="C1132" s="16">
        <v>1550</v>
      </c>
      <c r="D1132" s="11">
        <v>157</v>
      </c>
      <c r="E1132" s="7">
        <f t="shared" si="53"/>
        <v>1</v>
      </c>
      <c r="F1132" s="22" t="str">
        <f>IF(ISERROR(VLOOKUP($A1132,#REF!,3,0)),"x",VLOOKUP($A1132,#REF!,3,FALSE))</f>
        <v>x</v>
      </c>
      <c r="G1132" s="9">
        <f t="shared" si="54"/>
        <v>1</v>
      </c>
      <c r="H1132" s="13">
        <f t="shared" si="55"/>
        <v>1550</v>
      </c>
    </row>
    <row r="1133" spans="1:8" x14ac:dyDescent="0.25">
      <c r="A1133" s="2" t="str">
        <f>"LLP-3R-WW1"</f>
        <v>LLP-3R-WW1</v>
      </c>
      <c r="B1133" s="2" t="str">
        <f>"Pendelleuchte, 3x7W LED, rund, Glas  D100mm, weiß 3000K, 220-240V"</f>
        <v>Pendelleuchte, 3x7W LED, rund, Glas  D100mm, weiß 3000K, 220-240V</v>
      </c>
      <c r="C1133" s="16">
        <v>350</v>
      </c>
      <c r="D1133" s="11">
        <v>157</v>
      </c>
      <c r="E1133" s="7">
        <f t="shared" si="53"/>
        <v>1</v>
      </c>
      <c r="F1133" s="22" t="str">
        <f>IF(ISERROR(VLOOKUP($A1133,#REF!,3,0)),"x",VLOOKUP($A1133,#REF!,3,FALSE))</f>
        <v>x</v>
      </c>
      <c r="G1133" s="9">
        <f t="shared" si="54"/>
        <v>1</v>
      </c>
      <c r="H1133" s="13">
        <f t="shared" si="55"/>
        <v>350</v>
      </c>
    </row>
    <row r="1134" spans="1:8" x14ac:dyDescent="0.25">
      <c r="A1134" s="2" t="str">
        <f>"LLP-3R-WW2"</f>
        <v>LLP-3R-WW2</v>
      </c>
      <c r="B1134" s="2" t="str">
        <f>"Pendelleuchte, 3x7W LED, rund, Glas  D100mm, weiß 3000K, 220-240V"</f>
        <v>Pendelleuchte, 3x7W LED, rund, Glas  D100mm, weiß 3000K, 220-240V</v>
      </c>
      <c r="C1134" s="16">
        <v>350</v>
      </c>
      <c r="D1134" s="11">
        <v>157</v>
      </c>
      <c r="E1134" s="7">
        <f t="shared" si="53"/>
        <v>1</v>
      </c>
      <c r="F1134" s="22" t="str">
        <f>IF(ISERROR(VLOOKUP($A1134,#REF!,3,0)),"x",VLOOKUP($A1134,#REF!,3,FALSE))</f>
        <v>x</v>
      </c>
      <c r="G1134" s="9">
        <f t="shared" si="54"/>
        <v>1</v>
      </c>
      <c r="H1134" s="13">
        <f t="shared" si="55"/>
        <v>350</v>
      </c>
    </row>
    <row r="1135" spans="1:8" x14ac:dyDescent="0.25">
      <c r="A1135" s="2" t="str">
        <f>"LLP-3R-WW3"</f>
        <v>LLP-3R-WW3</v>
      </c>
      <c r="B1135" s="2" t="str">
        <f>"Pendelleuchte, 3x7W LED, rund, Glas  D100mm, weiß 3000K, 220-240V"</f>
        <v>Pendelleuchte, 3x7W LED, rund, Glas  D100mm, weiß 3000K, 220-240V</v>
      </c>
      <c r="C1135" s="16">
        <v>400</v>
      </c>
      <c r="D1135" s="11">
        <v>157</v>
      </c>
      <c r="E1135" s="7">
        <f t="shared" si="53"/>
        <v>1</v>
      </c>
      <c r="F1135" s="22" t="str">
        <f>IF(ISERROR(VLOOKUP($A1135,#REF!,3,0)),"x",VLOOKUP($A1135,#REF!,3,FALSE))</f>
        <v>x</v>
      </c>
      <c r="G1135" s="9">
        <f t="shared" si="54"/>
        <v>1</v>
      </c>
      <c r="H1135" s="13">
        <f t="shared" si="55"/>
        <v>400</v>
      </c>
    </row>
    <row r="1136" spans="1:8" x14ac:dyDescent="0.25">
      <c r="A1136" s="2" t="str">
        <f>"LLP-5L-WW1"</f>
        <v>LLP-5L-WW1</v>
      </c>
      <c r="B1136" s="2" t="str">
        <f>"Pendelleuchte, 5x7W LED, rund, Glas  D100mm, weiss, 3000K, 220-240V"</f>
        <v>Pendelleuchte, 5x7W LED, rund, Glas  D100mm, weiss, 3000K, 220-240V</v>
      </c>
      <c r="C1136" s="16">
        <v>625</v>
      </c>
      <c r="D1136" s="11">
        <v>157</v>
      </c>
      <c r="E1136" s="7">
        <f t="shared" si="53"/>
        <v>1</v>
      </c>
      <c r="F1136" s="22" t="str">
        <f>IF(ISERROR(VLOOKUP($A1136,#REF!,3,0)),"x",VLOOKUP($A1136,#REF!,3,FALSE))</f>
        <v>x</v>
      </c>
      <c r="G1136" s="9">
        <f t="shared" si="54"/>
        <v>1</v>
      </c>
      <c r="H1136" s="13">
        <f t="shared" si="55"/>
        <v>625</v>
      </c>
    </row>
    <row r="1137" spans="1:8" x14ac:dyDescent="0.25">
      <c r="A1137" s="2" t="str">
        <f>"LLP-5L-WW2"</f>
        <v>LLP-5L-WW2</v>
      </c>
      <c r="B1137" s="2" t="str">
        <f>"Pendelleuchte, 5x7W LED, rund, Glas  D100mm, schwarz, 3000K, 220-240V"</f>
        <v>Pendelleuchte, 5x7W LED, rund, Glas  D100mm, schwarz, 3000K, 220-240V</v>
      </c>
      <c r="C1137" s="16">
        <v>625</v>
      </c>
      <c r="D1137" s="11">
        <v>157</v>
      </c>
      <c r="E1137" s="7">
        <f t="shared" si="53"/>
        <v>1</v>
      </c>
      <c r="F1137" s="22" t="str">
        <f>IF(ISERROR(VLOOKUP($A1137,#REF!,3,0)),"x",VLOOKUP($A1137,#REF!,3,FALSE))</f>
        <v>x</v>
      </c>
      <c r="G1137" s="9">
        <f t="shared" si="54"/>
        <v>1</v>
      </c>
      <c r="H1137" s="13">
        <f t="shared" si="55"/>
        <v>625</v>
      </c>
    </row>
    <row r="1138" spans="1:8" x14ac:dyDescent="0.25">
      <c r="A1138" s="2" t="str">
        <f>"LLP-5L-WW3"</f>
        <v>LLP-5L-WW3</v>
      </c>
      <c r="B1138" s="2" t="str">
        <f>"Pendelleuchte, 5x7W LED, rund, Glas  D100mm, chrom, 3000K, 220-240V"</f>
        <v>Pendelleuchte, 5x7W LED, rund, Glas  D100mm, chrom, 3000K, 220-240V</v>
      </c>
      <c r="C1138" s="16">
        <v>665</v>
      </c>
      <c r="D1138" s="11">
        <v>157</v>
      </c>
      <c r="E1138" s="7">
        <f t="shared" si="53"/>
        <v>1</v>
      </c>
      <c r="F1138" s="22" t="str">
        <f>IF(ISERROR(VLOOKUP($A1138,#REF!,3,0)),"x",VLOOKUP($A1138,#REF!,3,FALSE))</f>
        <v>x</v>
      </c>
      <c r="G1138" s="9">
        <f t="shared" si="54"/>
        <v>1</v>
      </c>
      <c r="H1138" s="13">
        <f t="shared" si="55"/>
        <v>665</v>
      </c>
    </row>
    <row r="1139" spans="1:8" x14ac:dyDescent="0.25">
      <c r="A1139" s="2" t="str">
        <f>"LLP-5R-WW1"</f>
        <v>LLP-5R-WW1</v>
      </c>
      <c r="B1139" s="2" t="str">
        <f>"Pendelleuchte, 5x7W LED, rund, Glas  D100mm, weiß 3000K, 220-240V"</f>
        <v>Pendelleuchte, 5x7W LED, rund, Glas  D100mm, weiß 3000K, 220-240V</v>
      </c>
      <c r="C1139" s="16">
        <v>582.5</v>
      </c>
      <c r="D1139" s="11">
        <v>157</v>
      </c>
      <c r="E1139" s="7">
        <f t="shared" si="53"/>
        <v>1</v>
      </c>
      <c r="F1139" s="22" t="str">
        <f>IF(ISERROR(VLOOKUP($A1139,#REF!,3,0)),"x",VLOOKUP($A1139,#REF!,3,FALSE))</f>
        <v>x</v>
      </c>
      <c r="G1139" s="9">
        <f t="shared" si="54"/>
        <v>1</v>
      </c>
      <c r="H1139" s="13">
        <f t="shared" si="55"/>
        <v>582.5</v>
      </c>
    </row>
    <row r="1140" spans="1:8" x14ac:dyDescent="0.25">
      <c r="A1140" s="2" t="str">
        <f>"LLP-5R-WW2"</f>
        <v>LLP-5R-WW2</v>
      </c>
      <c r="B1140" s="2" t="str">
        <f>"Pendelleuchte, 5x7W LED, rund, Glas  D100mm, schwarz, 3000K, 220-240V"</f>
        <v>Pendelleuchte, 5x7W LED, rund, Glas  D100mm, schwarz, 3000K, 220-240V</v>
      </c>
      <c r="C1140" s="16">
        <v>665</v>
      </c>
      <c r="D1140" s="11">
        <v>157</v>
      </c>
      <c r="E1140" s="7">
        <f t="shared" si="53"/>
        <v>1</v>
      </c>
      <c r="F1140" s="22" t="str">
        <f>IF(ISERROR(VLOOKUP($A1140,#REF!,3,0)),"x",VLOOKUP($A1140,#REF!,3,FALSE))</f>
        <v>x</v>
      </c>
      <c r="G1140" s="9">
        <f t="shared" si="54"/>
        <v>1</v>
      </c>
      <c r="H1140" s="13">
        <f t="shared" si="55"/>
        <v>665</v>
      </c>
    </row>
    <row r="1141" spans="1:8" x14ac:dyDescent="0.25">
      <c r="A1141" s="2" t="str">
        <f>"LLP-5R-WW3"</f>
        <v>LLP-5R-WW3</v>
      </c>
      <c r="B1141" s="2" t="str">
        <f>"Pendelleuchte, 5x7W LED, rund, Glas  D100mm, chrom, 3000K, 220-240V"</f>
        <v>Pendelleuchte, 5x7W LED, rund, Glas  D100mm, chrom, 3000K, 220-240V</v>
      </c>
      <c r="C1141" s="16">
        <v>602.5</v>
      </c>
      <c r="D1141" s="11">
        <v>157</v>
      </c>
      <c r="E1141" s="7">
        <f t="shared" si="53"/>
        <v>1</v>
      </c>
      <c r="F1141" s="22" t="str">
        <f>IF(ISERROR(VLOOKUP($A1141,#REF!,3,0)),"x",VLOOKUP($A1141,#REF!,3,FALSE))</f>
        <v>x</v>
      </c>
      <c r="G1141" s="9">
        <f t="shared" si="54"/>
        <v>1</v>
      </c>
      <c r="H1141" s="13">
        <f t="shared" si="55"/>
        <v>602.5</v>
      </c>
    </row>
    <row r="1142" spans="1:8" x14ac:dyDescent="0.25">
      <c r="A1142" s="2" t="str">
        <f>"LLP-5WW1-6"</f>
        <v>LLP-5WW1-6</v>
      </c>
      <c r="B1142" s="2" t="str">
        <f>"Pendelleuchte, 9,2W LED, Glas , D100mm, weiß 3000K, 220-240V"</f>
        <v>Pendelleuchte, 9,2W LED, Glas , D100mm, weiß 3000K, 220-240V</v>
      </c>
      <c r="C1142" s="16">
        <v>120</v>
      </c>
      <c r="D1142" s="11">
        <v>157</v>
      </c>
      <c r="E1142" s="7">
        <f t="shared" si="53"/>
        <v>1</v>
      </c>
      <c r="F1142" s="22" t="str">
        <f>IF(ISERROR(VLOOKUP($A1142,#REF!,3,0)),"x",VLOOKUP($A1142,#REF!,3,FALSE))</f>
        <v>x</v>
      </c>
      <c r="G1142" s="9">
        <f t="shared" si="54"/>
        <v>1</v>
      </c>
      <c r="H1142" s="13">
        <f t="shared" si="55"/>
        <v>120</v>
      </c>
    </row>
    <row r="1143" spans="1:8" x14ac:dyDescent="0.25">
      <c r="A1143" s="2" t="str">
        <f>"LLP-5WW2-6"</f>
        <v>LLP-5WW2-6</v>
      </c>
      <c r="B1143" s="2" t="str">
        <f>"Pendelleuchte, 9,2W LED, Glas , D100mm, schwarz,  3000K, 220-240V"</f>
        <v>Pendelleuchte, 9,2W LED, Glas , D100mm, schwarz,  3000K, 220-240V</v>
      </c>
      <c r="C1143" s="16">
        <v>120</v>
      </c>
      <c r="D1143" s="11">
        <v>157</v>
      </c>
      <c r="E1143" s="7">
        <f t="shared" si="53"/>
        <v>1</v>
      </c>
      <c r="F1143" s="22" t="str">
        <f>IF(ISERROR(VLOOKUP($A1143,#REF!,3,0)),"x",VLOOKUP($A1143,#REF!,3,FALSE))</f>
        <v>x</v>
      </c>
      <c r="G1143" s="9">
        <f t="shared" si="54"/>
        <v>1</v>
      </c>
      <c r="H1143" s="13">
        <f t="shared" si="55"/>
        <v>120</v>
      </c>
    </row>
    <row r="1144" spans="1:8" x14ac:dyDescent="0.25">
      <c r="A1144" s="2" t="str">
        <f>"LLP-5WW3"</f>
        <v>LLP-5WW3</v>
      </c>
      <c r="B1144" s="2" t="str">
        <f>"Pendelleuchte, 9,2W LED, Glas , D100mm, chrom, 3000K, 220-240V"</f>
        <v>Pendelleuchte, 9,2W LED, Glas , D100mm, chrom, 3000K, 220-240V</v>
      </c>
      <c r="C1144" s="16">
        <v>112.5</v>
      </c>
      <c r="D1144" s="11">
        <v>157</v>
      </c>
      <c r="E1144" s="7">
        <f t="shared" si="53"/>
        <v>1</v>
      </c>
      <c r="F1144" s="22" t="str">
        <f>IF(ISERROR(VLOOKUP($A1144,#REF!,3,0)),"x",VLOOKUP($A1144,#REF!,3,FALSE))</f>
        <v>x</v>
      </c>
      <c r="G1144" s="9">
        <f t="shared" si="54"/>
        <v>1</v>
      </c>
      <c r="H1144" s="13">
        <f t="shared" si="55"/>
        <v>112.5</v>
      </c>
    </row>
    <row r="1145" spans="1:8" x14ac:dyDescent="0.25">
      <c r="A1145" s="2" t="str">
        <f>"LLP-5WW3-6"</f>
        <v>LLP-5WW3-6</v>
      </c>
      <c r="B1145" s="2" t="str">
        <f>"Pendelleuchte, 9,2W LED, Glas , D100mm, chrom, 3000K, 220-240V"</f>
        <v>Pendelleuchte, 9,2W LED, Glas , D100mm, chrom, 3000K, 220-240V</v>
      </c>
      <c r="C1145" s="16">
        <v>140</v>
      </c>
      <c r="D1145" s="11">
        <v>157</v>
      </c>
      <c r="E1145" s="7">
        <f t="shared" si="53"/>
        <v>1</v>
      </c>
      <c r="F1145" s="22" t="str">
        <f>IF(ISERROR(VLOOKUP($A1145,#REF!,3,0)),"x",VLOOKUP($A1145,#REF!,3,FALSE))</f>
        <v>x</v>
      </c>
      <c r="G1145" s="9">
        <f t="shared" si="54"/>
        <v>1</v>
      </c>
      <c r="H1145" s="13">
        <f t="shared" si="55"/>
        <v>140</v>
      </c>
    </row>
    <row r="1146" spans="1:8" x14ac:dyDescent="0.25">
      <c r="A1146" s="2" t="str">
        <f>"LPL-35WW01"</f>
        <v>LPL-35WW01</v>
      </c>
      <c r="B1146" s="2" t="str">
        <f>"LPL Pendelleuchte, COB LED 35W, 3000K, Gehäuse weiß/silber"</f>
        <v>LPL Pendelleuchte, COB LED 35W, 3000K, Gehäuse weiß/silber</v>
      </c>
      <c r="C1146" s="16">
        <v>197.5</v>
      </c>
      <c r="D1146" s="11">
        <v>163</v>
      </c>
      <c r="E1146" s="7">
        <f t="shared" si="53"/>
        <v>1</v>
      </c>
      <c r="F1146" s="22" t="str">
        <f>IF(ISERROR(VLOOKUP($A1146,#REF!,3,0)),"x",VLOOKUP($A1146,#REF!,3,FALSE))</f>
        <v>x</v>
      </c>
      <c r="G1146" s="9">
        <f t="shared" si="54"/>
        <v>1</v>
      </c>
      <c r="H1146" s="13">
        <f t="shared" si="55"/>
        <v>197.5</v>
      </c>
    </row>
    <row r="1147" spans="1:8" x14ac:dyDescent="0.25">
      <c r="A1147" s="2" t="str">
        <f>"LPL-35WW11"</f>
        <v>LPL-35WW11</v>
      </c>
      <c r="B1147" s="2" t="str">
        <f>"LPL Pendelleuchte, COB LED 35W, 3000K, Gehäuse weiß/silber"</f>
        <v>LPL Pendelleuchte, COB LED 35W, 3000K, Gehäuse weiß/silber</v>
      </c>
      <c r="C1147" s="16">
        <v>247.5</v>
      </c>
      <c r="D1147" s="11">
        <v>163</v>
      </c>
      <c r="E1147" s="7">
        <f t="shared" si="53"/>
        <v>1</v>
      </c>
      <c r="F1147" s="22" t="str">
        <f>IF(ISERROR(VLOOKUP($A1147,#REF!,3,0)),"x",VLOOKUP($A1147,#REF!,3,FALSE))</f>
        <v>x</v>
      </c>
      <c r="G1147" s="9">
        <f t="shared" si="54"/>
        <v>1</v>
      </c>
      <c r="H1147" s="13">
        <f t="shared" si="55"/>
        <v>247.5</v>
      </c>
    </row>
    <row r="1148" spans="1:8" x14ac:dyDescent="0.25">
      <c r="A1148" s="2" t="str">
        <f>"LRON-33CWF"</f>
        <v>LRON-33CWF</v>
      </c>
      <c r="B1148" s="2" t="str">
        <f>"LRON Feuchtraum-Rohrleuchte, LED, 27W, 6500K"</f>
        <v>LRON Feuchtraum-Rohrleuchte, LED, 27W, 6500K</v>
      </c>
      <c r="C1148" s="16">
        <v>300</v>
      </c>
      <c r="D1148" s="11">
        <v>211</v>
      </c>
      <c r="E1148" s="7">
        <f t="shared" si="53"/>
        <v>1</v>
      </c>
      <c r="F1148" s="22" t="str">
        <f>IF(ISERROR(VLOOKUP($A1148,#REF!,3,0)),"x",VLOOKUP($A1148,#REF!,3,FALSE))</f>
        <v>x</v>
      </c>
      <c r="G1148" s="9">
        <f t="shared" si="54"/>
        <v>1</v>
      </c>
      <c r="H1148" s="13">
        <f t="shared" si="55"/>
        <v>300</v>
      </c>
    </row>
    <row r="1149" spans="1:8" x14ac:dyDescent="0.25">
      <c r="A1149" s="2" t="str">
        <f>"LRON-33NWF"</f>
        <v>LRON-33NWF</v>
      </c>
      <c r="B1149" s="2" t="str">
        <f>"LRON Feuchtraum-Rohrleuchte, LED, 31W, 4000K"</f>
        <v>LRON Feuchtraum-Rohrleuchte, LED, 31W, 4000K</v>
      </c>
      <c r="C1149" s="16">
        <v>300</v>
      </c>
      <c r="D1149" s="11">
        <v>211</v>
      </c>
      <c r="E1149" s="7">
        <f t="shared" si="53"/>
        <v>1</v>
      </c>
      <c r="F1149" s="22" t="str">
        <f>IF(ISERROR(VLOOKUP($A1149,#REF!,3,0)),"x",VLOOKUP($A1149,#REF!,3,FALSE))</f>
        <v>x</v>
      </c>
      <c r="G1149" s="9">
        <f t="shared" si="54"/>
        <v>1</v>
      </c>
      <c r="H1149" s="13">
        <f t="shared" si="55"/>
        <v>300</v>
      </c>
    </row>
    <row r="1150" spans="1:8" x14ac:dyDescent="0.25">
      <c r="A1150" s="2" t="str">
        <f>"LRON-33SWF"</f>
        <v>LRON-33SWF</v>
      </c>
      <c r="B1150" s="2" t="str">
        <f>"LRON Feuchtraum-Rohrleuchte, LED, 27W, 2700K"</f>
        <v>LRON Feuchtraum-Rohrleuchte, LED, 27W, 2700K</v>
      </c>
      <c r="C1150" s="16">
        <v>300</v>
      </c>
      <c r="D1150" s="11">
        <v>211</v>
      </c>
      <c r="E1150" s="7">
        <f t="shared" si="53"/>
        <v>1</v>
      </c>
      <c r="F1150" s="22" t="str">
        <f>IF(ISERROR(VLOOKUP($A1150,#REF!,3,0)),"x",VLOOKUP($A1150,#REF!,3,FALSE))</f>
        <v>x</v>
      </c>
      <c r="G1150" s="9">
        <f t="shared" si="54"/>
        <v>1</v>
      </c>
      <c r="H1150" s="13">
        <f t="shared" si="55"/>
        <v>300</v>
      </c>
    </row>
    <row r="1151" spans="1:8" x14ac:dyDescent="0.25">
      <c r="A1151" s="2" t="str">
        <f>"LRON-33WWF"</f>
        <v>LRON-33WWF</v>
      </c>
      <c r="B1151" s="2" t="str">
        <f>"LRON Feuchtraum-Rohrleuchte, LED, 27W, 3000K"</f>
        <v>LRON Feuchtraum-Rohrleuchte, LED, 27W, 3000K</v>
      </c>
      <c r="C1151" s="16">
        <v>300</v>
      </c>
      <c r="D1151" s="11">
        <v>211</v>
      </c>
      <c r="E1151" s="7">
        <f t="shared" si="53"/>
        <v>1</v>
      </c>
      <c r="F1151" s="22" t="str">
        <f>IF(ISERROR(VLOOKUP($A1151,#REF!,3,0)),"x",VLOOKUP($A1151,#REF!,3,FALSE))</f>
        <v>x</v>
      </c>
      <c r="G1151" s="9">
        <f t="shared" si="54"/>
        <v>1</v>
      </c>
      <c r="H1151" s="13">
        <f t="shared" si="55"/>
        <v>300</v>
      </c>
    </row>
    <row r="1152" spans="1:8" x14ac:dyDescent="0.25">
      <c r="A1152" s="2" t="str">
        <f>"LU-13NW1"</f>
        <v>LU-13NW1</v>
      </c>
      <c r="B1152" s="2" t="str">
        <f>"9201BI4K LUNETTE Ø235mm, 15W, 4000K, weiß"</f>
        <v>9201BI4K LUNETTE Ø235mm, 15W, 4000K, weiß</v>
      </c>
      <c r="C1152" s="16">
        <v>252.5</v>
      </c>
      <c r="D1152" s="11">
        <v>259</v>
      </c>
      <c r="E1152" s="7">
        <f t="shared" si="53"/>
        <v>1</v>
      </c>
      <c r="F1152" s="22" t="str">
        <f>IF(ISERROR(VLOOKUP($A1152,#REF!,3,0)),"x",VLOOKUP($A1152,#REF!,3,FALSE))</f>
        <v>x</v>
      </c>
      <c r="G1152" s="9">
        <f t="shared" si="54"/>
        <v>1</v>
      </c>
      <c r="H1152" s="13">
        <f t="shared" si="55"/>
        <v>252.5</v>
      </c>
    </row>
    <row r="1153" spans="1:8" x14ac:dyDescent="0.25">
      <c r="A1153" s="2" t="str">
        <f>"LU-13NW6"</f>
        <v>LU-13NW6</v>
      </c>
      <c r="B1153" s="2" t="str">
        <f>"9201AN4K LUNETTE Ø235mm, 15W, 4000K, anthrazit"</f>
        <v>9201AN4K LUNETTE Ø235mm, 15W, 4000K, anthrazit</v>
      </c>
      <c r="C1153" s="16">
        <v>252.5</v>
      </c>
      <c r="D1153" s="11">
        <v>259</v>
      </c>
      <c r="E1153" s="7">
        <f t="shared" si="53"/>
        <v>1</v>
      </c>
      <c r="F1153" s="22" t="str">
        <f>IF(ISERROR(VLOOKUP($A1153,#REF!,3,0)),"x",VLOOKUP($A1153,#REF!,3,FALSE))</f>
        <v>x</v>
      </c>
      <c r="G1153" s="9">
        <f t="shared" si="54"/>
        <v>1</v>
      </c>
      <c r="H1153" s="13">
        <f t="shared" si="55"/>
        <v>252.5</v>
      </c>
    </row>
    <row r="1154" spans="1:8" x14ac:dyDescent="0.25">
      <c r="A1154" s="2" t="str">
        <f>"LU-13NW7"</f>
        <v>LU-13NW7</v>
      </c>
      <c r="B1154" s="2" t="str">
        <f>"9201AG4K LUNETTE Ø235mm, 15W, 4000K, aluminiumgrau "</f>
        <v xml:space="preserve">9201AG4K LUNETTE Ø235mm, 15W, 4000K, aluminiumgrau </v>
      </c>
      <c r="C1154" s="16">
        <v>252.5</v>
      </c>
      <c r="D1154" s="11">
        <v>259</v>
      </c>
      <c r="E1154" s="7">
        <f t="shared" si="53"/>
        <v>1</v>
      </c>
      <c r="F1154" s="22" t="str">
        <f>IF(ISERROR(VLOOKUP($A1154,#REF!,3,0)),"x",VLOOKUP($A1154,#REF!,3,FALSE))</f>
        <v>x</v>
      </c>
      <c r="G1154" s="9">
        <f t="shared" si="54"/>
        <v>1</v>
      </c>
      <c r="H1154" s="13">
        <f t="shared" si="55"/>
        <v>252.5</v>
      </c>
    </row>
    <row r="1155" spans="1:8" x14ac:dyDescent="0.25">
      <c r="A1155" s="2" t="str">
        <f>"LU-13WW1"</f>
        <v>LU-13WW1</v>
      </c>
      <c r="B1155" s="2" t="str">
        <f>"9201BI3K LUNETTE Ø235mm, 15W, 3000K, weiß"</f>
        <v>9201BI3K LUNETTE Ø235mm, 15W, 3000K, weiß</v>
      </c>
      <c r="C1155" s="16">
        <v>252.5</v>
      </c>
      <c r="D1155" s="11">
        <v>259</v>
      </c>
      <c r="E1155" s="7">
        <f t="shared" ref="E1155:E1218" si="56">G1155</f>
        <v>1</v>
      </c>
      <c r="F1155" s="22" t="str">
        <f>IF(ISERROR(VLOOKUP($A1155,#REF!,3,0)),"x",VLOOKUP($A1155,#REF!,3,FALSE))</f>
        <v>x</v>
      </c>
      <c r="G1155" s="9">
        <f t="shared" ref="G1155:G1218" si="57">IF(C1155&lt;F1155,1,IF(C1155&gt;F1155,-1,0))</f>
        <v>1</v>
      </c>
      <c r="H1155" s="13">
        <f t="shared" si="55"/>
        <v>252.5</v>
      </c>
    </row>
    <row r="1156" spans="1:8" x14ac:dyDescent="0.25">
      <c r="A1156" s="2" t="str">
        <f>"LU-13WW6"</f>
        <v>LU-13WW6</v>
      </c>
      <c r="B1156" s="2" t="str">
        <f>"9201AN3K LUNETTE Ø235mm, 15W, 3000K, anthrazit"</f>
        <v>9201AN3K LUNETTE Ø235mm, 15W, 3000K, anthrazit</v>
      </c>
      <c r="C1156" s="16">
        <v>252.5</v>
      </c>
      <c r="D1156" s="11">
        <v>259</v>
      </c>
      <c r="E1156" s="7">
        <f t="shared" si="56"/>
        <v>1</v>
      </c>
      <c r="F1156" s="22" t="str">
        <f>IF(ISERROR(VLOOKUP($A1156,#REF!,3,0)),"x",VLOOKUP($A1156,#REF!,3,FALSE))</f>
        <v>x</v>
      </c>
      <c r="G1156" s="9">
        <f t="shared" si="57"/>
        <v>1</v>
      </c>
      <c r="H1156" s="13">
        <f t="shared" si="55"/>
        <v>252.5</v>
      </c>
    </row>
    <row r="1157" spans="1:8" x14ac:dyDescent="0.25">
      <c r="A1157" s="2" t="str">
        <f>"LU-13WW7"</f>
        <v>LU-13WW7</v>
      </c>
      <c r="B1157" s="2" t="str">
        <f>"9201AG3K LUNETTE Ø235mm, 15W, 3000K, aluminiumgrau "</f>
        <v xml:space="preserve">9201AG3K LUNETTE Ø235mm, 15W, 3000K, aluminiumgrau </v>
      </c>
      <c r="C1157" s="16">
        <v>252.5</v>
      </c>
      <c r="D1157" s="11">
        <v>259</v>
      </c>
      <c r="E1157" s="7">
        <f t="shared" si="56"/>
        <v>1</v>
      </c>
      <c r="F1157" s="22" t="str">
        <f>IF(ISERROR(VLOOKUP($A1157,#REF!,3,0)),"x",VLOOKUP($A1157,#REF!,3,FALSE))</f>
        <v>x</v>
      </c>
      <c r="G1157" s="9">
        <f t="shared" si="57"/>
        <v>1</v>
      </c>
      <c r="H1157" s="13">
        <f t="shared" ref="H1157:H1220" si="58">IF(F1157="x",C1157,F1157)</f>
        <v>252.5</v>
      </c>
    </row>
    <row r="1158" spans="1:8" x14ac:dyDescent="0.25">
      <c r="A1158" s="2" t="str">
        <f>"LU-25NW1"</f>
        <v>LU-25NW1</v>
      </c>
      <c r="B1158" s="2" t="str">
        <f>"9206BI4K LUNETTE Ø365mm, 27W, 4000K, weiß"</f>
        <v>9206BI4K LUNETTE Ø365mm, 27W, 4000K, weiß</v>
      </c>
      <c r="C1158" s="16">
        <v>422.5</v>
      </c>
      <c r="D1158" s="11">
        <v>259</v>
      </c>
      <c r="E1158" s="7">
        <f t="shared" si="56"/>
        <v>1</v>
      </c>
      <c r="F1158" s="22" t="str">
        <f>IF(ISERROR(VLOOKUP($A1158,#REF!,3,0)),"x",VLOOKUP($A1158,#REF!,3,FALSE))</f>
        <v>x</v>
      </c>
      <c r="G1158" s="9">
        <f t="shared" si="57"/>
        <v>1</v>
      </c>
      <c r="H1158" s="13">
        <f t="shared" si="58"/>
        <v>422.5</v>
      </c>
    </row>
    <row r="1159" spans="1:8" x14ac:dyDescent="0.25">
      <c r="A1159" s="2" t="str">
        <f>"LU-25NW6"</f>
        <v>LU-25NW6</v>
      </c>
      <c r="B1159" s="2" t="str">
        <f>"9206AN4K LUNETTE Ø365mm, 25W, 4000K, anthrazit"</f>
        <v>9206AN4K LUNETTE Ø365mm, 25W, 4000K, anthrazit</v>
      </c>
      <c r="C1159" s="16">
        <v>422.5</v>
      </c>
      <c r="D1159" s="11">
        <v>259</v>
      </c>
      <c r="E1159" s="7">
        <f t="shared" si="56"/>
        <v>1</v>
      </c>
      <c r="F1159" s="22" t="str">
        <f>IF(ISERROR(VLOOKUP($A1159,#REF!,3,0)),"x",VLOOKUP($A1159,#REF!,3,FALSE))</f>
        <v>x</v>
      </c>
      <c r="G1159" s="9">
        <f t="shared" si="57"/>
        <v>1</v>
      </c>
      <c r="H1159" s="13">
        <f t="shared" si="58"/>
        <v>422.5</v>
      </c>
    </row>
    <row r="1160" spans="1:8" x14ac:dyDescent="0.25">
      <c r="A1160" s="2" t="str">
        <f>"LU-25NW7"</f>
        <v>LU-25NW7</v>
      </c>
      <c r="B1160" s="2" t="str">
        <f>"9206AG4K LUNETTE Ø365mm, 27W, 4000K, aluminiumgrau "</f>
        <v xml:space="preserve">9206AG4K LUNETTE Ø365mm, 27W, 4000K, aluminiumgrau </v>
      </c>
      <c r="C1160" s="16">
        <v>422.5</v>
      </c>
      <c r="D1160" s="11">
        <v>259</v>
      </c>
      <c r="E1160" s="7">
        <f t="shared" si="56"/>
        <v>1</v>
      </c>
      <c r="F1160" s="22" t="str">
        <f>IF(ISERROR(VLOOKUP($A1160,#REF!,3,0)),"x",VLOOKUP($A1160,#REF!,3,FALSE))</f>
        <v>x</v>
      </c>
      <c r="G1160" s="9">
        <f t="shared" si="57"/>
        <v>1</v>
      </c>
      <c r="H1160" s="13">
        <f t="shared" si="58"/>
        <v>422.5</v>
      </c>
    </row>
    <row r="1161" spans="1:8" x14ac:dyDescent="0.25">
      <c r="A1161" s="2" t="str">
        <f>"LU-25WW1"</f>
        <v>LU-25WW1</v>
      </c>
      <c r="B1161" s="2" t="str">
        <f>"9206BI3K LUNETTE Ø365mm, 27W, 3000K, weiß"</f>
        <v>9206BI3K LUNETTE Ø365mm, 27W, 3000K, weiß</v>
      </c>
      <c r="C1161" s="16">
        <v>422.5</v>
      </c>
      <c r="D1161" s="11">
        <v>259</v>
      </c>
      <c r="E1161" s="7">
        <f t="shared" si="56"/>
        <v>1</v>
      </c>
      <c r="F1161" s="22" t="str">
        <f>IF(ISERROR(VLOOKUP($A1161,#REF!,3,0)),"x",VLOOKUP($A1161,#REF!,3,FALSE))</f>
        <v>x</v>
      </c>
      <c r="G1161" s="9">
        <f t="shared" si="57"/>
        <v>1</v>
      </c>
      <c r="H1161" s="13">
        <f t="shared" si="58"/>
        <v>422.5</v>
      </c>
    </row>
    <row r="1162" spans="1:8" x14ac:dyDescent="0.25">
      <c r="A1162" s="2" t="str">
        <f>"LU-25WW6"</f>
        <v>LU-25WW6</v>
      </c>
      <c r="B1162" s="2" t="str">
        <f>"9206AN3K LUNETTE Ø365mm, 25W, 3000K, anthrazit"</f>
        <v>9206AN3K LUNETTE Ø365mm, 25W, 3000K, anthrazit</v>
      </c>
      <c r="C1162" s="16">
        <v>422.5</v>
      </c>
      <c r="D1162" s="11">
        <v>259</v>
      </c>
      <c r="E1162" s="7">
        <f t="shared" si="56"/>
        <v>1</v>
      </c>
      <c r="F1162" s="22" t="str">
        <f>IF(ISERROR(VLOOKUP($A1162,#REF!,3,0)),"x",VLOOKUP($A1162,#REF!,3,FALSE))</f>
        <v>x</v>
      </c>
      <c r="G1162" s="9">
        <f t="shared" si="57"/>
        <v>1</v>
      </c>
      <c r="H1162" s="13">
        <f t="shared" si="58"/>
        <v>422.5</v>
      </c>
    </row>
    <row r="1163" spans="1:8" x14ac:dyDescent="0.25">
      <c r="A1163" s="2" t="str">
        <f>"LU-25WW7"</f>
        <v>LU-25WW7</v>
      </c>
      <c r="B1163" s="2" t="str">
        <f>"9206AG3K LUNETTE Ø365mm, 27W, 3000K, aluminiumgrau"</f>
        <v>9206AG3K LUNETTE Ø365mm, 27W, 3000K, aluminiumgrau</v>
      </c>
      <c r="C1163" s="16">
        <v>422.5</v>
      </c>
      <c r="D1163" s="11">
        <v>259</v>
      </c>
      <c r="E1163" s="7">
        <f t="shared" si="56"/>
        <v>1</v>
      </c>
      <c r="F1163" s="22" t="str">
        <f>IF(ISERROR(VLOOKUP($A1163,#REF!,3,0)),"x",VLOOKUP($A1163,#REF!,3,FALSE))</f>
        <v>x</v>
      </c>
      <c r="G1163" s="9">
        <f t="shared" si="57"/>
        <v>1</v>
      </c>
      <c r="H1163" s="13">
        <f t="shared" si="58"/>
        <v>422.5</v>
      </c>
    </row>
    <row r="1164" spans="1:8" x14ac:dyDescent="0.25">
      <c r="A1164" s="2" t="str">
        <f>"LUN-13NW1"</f>
        <v>LUN-13NW1</v>
      </c>
      <c r="B1164" s="2" t="str">
        <f>"9202BI4K LUNETTE Ø235mm, 15W, 4000K, 3h Notl., weiß"</f>
        <v>9202BI4K LUNETTE Ø235mm, 15W, 4000K, 3h Notl., weiß</v>
      </c>
      <c r="C1164" s="16">
        <v>535</v>
      </c>
      <c r="D1164" s="11">
        <v>259</v>
      </c>
      <c r="E1164" s="7">
        <f t="shared" si="56"/>
        <v>1</v>
      </c>
      <c r="F1164" s="22" t="str">
        <f>IF(ISERROR(VLOOKUP($A1164,#REF!,3,0)),"x",VLOOKUP($A1164,#REF!,3,FALSE))</f>
        <v>x</v>
      </c>
      <c r="G1164" s="9">
        <f t="shared" si="57"/>
        <v>1</v>
      </c>
      <c r="H1164" s="13">
        <f t="shared" si="58"/>
        <v>535</v>
      </c>
    </row>
    <row r="1165" spans="1:8" x14ac:dyDescent="0.25">
      <c r="A1165" s="2" t="str">
        <f>"LUN-13NW6"</f>
        <v>LUN-13NW6</v>
      </c>
      <c r="B1165" s="2" t="str">
        <f>"9202AN4K LUNETTE Ø235mm, 15W, 4000K, 3h Notl., anthrazit"</f>
        <v>9202AN4K LUNETTE Ø235mm, 15W, 4000K, 3h Notl., anthrazit</v>
      </c>
      <c r="C1165" s="16">
        <v>535</v>
      </c>
      <c r="D1165" s="11">
        <v>259</v>
      </c>
      <c r="E1165" s="7">
        <f t="shared" si="56"/>
        <v>1</v>
      </c>
      <c r="F1165" s="22" t="str">
        <f>IF(ISERROR(VLOOKUP($A1165,#REF!,3,0)),"x",VLOOKUP($A1165,#REF!,3,FALSE))</f>
        <v>x</v>
      </c>
      <c r="G1165" s="9">
        <f t="shared" si="57"/>
        <v>1</v>
      </c>
      <c r="H1165" s="13">
        <f t="shared" si="58"/>
        <v>535</v>
      </c>
    </row>
    <row r="1166" spans="1:8" x14ac:dyDescent="0.25">
      <c r="A1166" s="2" t="str">
        <f>"LUN-13NW7"</f>
        <v>LUN-13NW7</v>
      </c>
      <c r="B1166" s="2" t="str">
        <f>"9202AG4K LUNETTE Ø235mm, 15W, 4000K, 3h Notl., aluminiumgrau"</f>
        <v>9202AG4K LUNETTE Ø235mm, 15W, 4000K, 3h Notl., aluminiumgrau</v>
      </c>
      <c r="C1166" s="16">
        <v>535</v>
      </c>
      <c r="D1166" s="11">
        <v>259</v>
      </c>
      <c r="E1166" s="7">
        <f t="shared" si="56"/>
        <v>1</v>
      </c>
      <c r="F1166" s="22" t="str">
        <f>IF(ISERROR(VLOOKUP($A1166,#REF!,3,0)),"x",VLOOKUP($A1166,#REF!,3,FALSE))</f>
        <v>x</v>
      </c>
      <c r="G1166" s="9">
        <f t="shared" si="57"/>
        <v>1</v>
      </c>
      <c r="H1166" s="13">
        <f t="shared" si="58"/>
        <v>535</v>
      </c>
    </row>
    <row r="1167" spans="1:8" x14ac:dyDescent="0.25">
      <c r="A1167" s="2" t="str">
        <f>"LUN-13WW1"</f>
        <v>LUN-13WW1</v>
      </c>
      <c r="B1167" s="2" t="str">
        <f>"9202BI3K LUNETTE Ø235mm, 15W, 3000K, 3h Notl., Weiß"</f>
        <v>9202BI3K LUNETTE Ø235mm, 15W, 3000K, 3h Notl., Weiß</v>
      </c>
      <c r="C1167" s="16">
        <v>535</v>
      </c>
      <c r="D1167" s="11">
        <v>259</v>
      </c>
      <c r="E1167" s="7">
        <f t="shared" si="56"/>
        <v>1</v>
      </c>
      <c r="F1167" s="22" t="str">
        <f>IF(ISERROR(VLOOKUP($A1167,#REF!,3,0)),"x",VLOOKUP($A1167,#REF!,3,FALSE))</f>
        <v>x</v>
      </c>
      <c r="G1167" s="9">
        <f t="shared" si="57"/>
        <v>1</v>
      </c>
      <c r="H1167" s="13">
        <f t="shared" si="58"/>
        <v>535</v>
      </c>
    </row>
    <row r="1168" spans="1:8" x14ac:dyDescent="0.25">
      <c r="A1168" s="2" t="str">
        <f>"LUN-13WW6"</f>
        <v>LUN-13WW6</v>
      </c>
      <c r="B1168" s="2" t="str">
        <f>"9202AN3K LUNETTE Ø235mm, 15W, 3000K, 3h Notl., anthrazit"</f>
        <v>9202AN3K LUNETTE Ø235mm, 15W, 3000K, 3h Notl., anthrazit</v>
      </c>
      <c r="C1168" s="16">
        <v>535</v>
      </c>
      <c r="D1168" s="11">
        <v>259</v>
      </c>
      <c r="E1168" s="7">
        <f t="shared" si="56"/>
        <v>1</v>
      </c>
      <c r="F1168" s="22" t="str">
        <f>IF(ISERROR(VLOOKUP($A1168,#REF!,3,0)),"x",VLOOKUP($A1168,#REF!,3,FALSE))</f>
        <v>x</v>
      </c>
      <c r="G1168" s="9">
        <f t="shared" si="57"/>
        <v>1</v>
      </c>
      <c r="H1168" s="13">
        <f t="shared" si="58"/>
        <v>535</v>
      </c>
    </row>
    <row r="1169" spans="1:8" x14ac:dyDescent="0.25">
      <c r="A1169" s="2" t="str">
        <f>"LUN-13WW7"</f>
        <v>LUN-13WW7</v>
      </c>
      <c r="B1169" s="2" t="str">
        <f>"9202AG3K LUNETTE Ø235mm, 15W, 3000K, 3h Notl., Metallgrau"</f>
        <v>9202AG3K LUNETTE Ø235mm, 15W, 3000K, 3h Notl., Metallgrau</v>
      </c>
      <c r="C1169" s="16">
        <v>535</v>
      </c>
      <c r="D1169" s="11">
        <v>259</v>
      </c>
      <c r="E1169" s="7">
        <f t="shared" si="56"/>
        <v>1</v>
      </c>
      <c r="F1169" s="22" t="str">
        <f>IF(ISERROR(VLOOKUP($A1169,#REF!,3,0)),"x",VLOOKUP($A1169,#REF!,3,FALSE))</f>
        <v>x</v>
      </c>
      <c r="G1169" s="9">
        <f t="shared" si="57"/>
        <v>1</v>
      </c>
      <c r="H1169" s="13">
        <f t="shared" si="58"/>
        <v>535</v>
      </c>
    </row>
    <row r="1170" spans="1:8" x14ac:dyDescent="0.25">
      <c r="A1170" s="2" t="str">
        <f>"LUN-25NW1"</f>
        <v>LUN-25NW1</v>
      </c>
      <c r="B1170" s="2" t="str">
        <f>"9207BI4K LUNETTE Ø365mm, 27W, 4000K, 3h Notl., weiß"</f>
        <v>9207BI4K LUNETTE Ø365mm, 27W, 4000K, 3h Notl., weiß</v>
      </c>
      <c r="C1170" s="16">
        <v>675</v>
      </c>
      <c r="D1170" s="11">
        <v>259</v>
      </c>
      <c r="E1170" s="7">
        <f t="shared" si="56"/>
        <v>1</v>
      </c>
      <c r="F1170" s="22" t="str">
        <f>IF(ISERROR(VLOOKUP($A1170,#REF!,3,0)),"x",VLOOKUP($A1170,#REF!,3,FALSE))</f>
        <v>x</v>
      </c>
      <c r="G1170" s="9">
        <f t="shared" si="57"/>
        <v>1</v>
      </c>
      <c r="H1170" s="13">
        <f t="shared" si="58"/>
        <v>675</v>
      </c>
    </row>
    <row r="1171" spans="1:8" x14ac:dyDescent="0.25">
      <c r="A1171" s="2" t="str">
        <f>"LUN-25NW6"</f>
        <v>LUN-25NW6</v>
      </c>
      <c r="B1171" s="2" t="str">
        <f>"9207AN4K LUNETTE Ø365mm, 27W, 4000K, 3h Notl., anthrazit "</f>
        <v xml:space="preserve">9207AN4K LUNETTE Ø365mm, 27W, 4000K, 3h Notl., anthrazit </v>
      </c>
      <c r="C1171" s="16">
        <v>675</v>
      </c>
      <c r="D1171" s="11">
        <v>259</v>
      </c>
      <c r="E1171" s="7">
        <f t="shared" si="56"/>
        <v>1</v>
      </c>
      <c r="F1171" s="22" t="str">
        <f>IF(ISERROR(VLOOKUP($A1171,#REF!,3,0)),"x",VLOOKUP($A1171,#REF!,3,FALSE))</f>
        <v>x</v>
      </c>
      <c r="G1171" s="9">
        <f t="shared" si="57"/>
        <v>1</v>
      </c>
      <c r="H1171" s="13">
        <f t="shared" si="58"/>
        <v>675</v>
      </c>
    </row>
    <row r="1172" spans="1:8" x14ac:dyDescent="0.25">
      <c r="A1172" s="2" t="str">
        <f>"LUN-25NW7"</f>
        <v>LUN-25NW7</v>
      </c>
      <c r="B1172" s="2" t="str">
        <f>"9207AG4K LUNETTE Ø365mm, 27W, 4000K, 3h Notl., aluminiumgrau"</f>
        <v>9207AG4K LUNETTE Ø365mm, 27W, 4000K, 3h Notl., aluminiumgrau</v>
      </c>
      <c r="C1172" s="16">
        <v>675</v>
      </c>
      <c r="D1172" s="11">
        <v>259</v>
      </c>
      <c r="E1172" s="7">
        <f t="shared" si="56"/>
        <v>1</v>
      </c>
      <c r="F1172" s="22" t="str">
        <f>IF(ISERROR(VLOOKUP($A1172,#REF!,3,0)),"x",VLOOKUP($A1172,#REF!,3,FALSE))</f>
        <v>x</v>
      </c>
      <c r="G1172" s="9">
        <f t="shared" si="57"/>
        <v>1</v>
      </c>
      <c r="H1172" s="13">
        <f t="shared" si="58"/>
        <v>675</v>
      </c>
    </row>
    <row r="1173" spans="1:8" x14ac:dyDescent="0.25">
      <c r="A1173" s="2" t="str">
        <f>"LUN-25WW1"</f>
        <v>LUN-25WW1</v>
      </c>
      <c r="B1173" s="2" t="str">
        <f>"9207BI3K LUNETTE Ø365mm, 27W, 3000K, 3h Notl., weiß"</f>
        <v>9207BI3K LUNETTE Ø365mm, 27W, 3000K, 3h Notl., weiß</v>
      </c>
      <c r="C1173" s="16">
        <v>675</v>
      </c>
      <c r="D1173" s="11">
        <v>259</v>
      </c>
      <c r="E1173" s="7">
        <f t="shared" si="56"/>
        <v>1</v>
      </c>
      <c r="F1173" s="22" t="str">
        <f>IF(ISERROR(VLOOKUP($A1173,#REF!,3,0)),"x",VLOOKUP($A1173,#REF!,3,FALSE))</f>
        <v>x</v>
      </c>
      <c r="G1173" s="9">
        <f t="shared" si="57"/>
        <v>1</v>
      </c>
      <c r="H1173" s="13">
        <f t="shared" si="58"/>
        <v>675</v>
      </c>
    </row>
    <row r="1174" spans="1:8" x14ac:dyDescent="0.25">
      <c r="A1174" s="2" t="str">
        <f>"LUN-25WW6"</f>
        <v>LUN-25WW6</v>
      </c>
      <c r="B1174" s="2" t="str">
        <f>"9207AN3K LUNETTE Ø365mm, 27W, 3000K, 3h Notl., anthrazit "</f>
        <v xml:space="preserve">9207AN3K LUNETTE Ø365mm, 27W, 3000K, 3h Notl., anthrazit </v>
      </c>
      <c r="C1174" s="16">
        <v>675</v>
      </c>
      <c r="D1174" s="11">
        <v>259</v>
      </c>
      <c r="E1174" s="7">
        <f t="shared" si="56"/>
        <v>1</v>
      </c>
      <c r="F1174" s="22" t="str">
        <f>IF(ISERROR(VLOOKUP($A1174,#REF!,3,0)),"x",VLOOKUP($A1174,#REF!,3,FALSE))</f>
        <v>x</v>
      </c>
      <c r="G1174" s="9">
        <f t="shared" si="57"/>
        <v>1</v>
      </c>
      <c r="H1174" s="13">
        <f t="shared" si="58"/>
        <v>675</v>
      </c>
    </row>
    <row r="1175" spans="1:8" x14ac:dyDescent="0.25">
      <c r="A1175" s="2" t="str">
        <f>"LUN-25WW7"</f>
        <v>LUN-25WW7</v>
      </c>
      <c r="B1175" s="2" t="str">
        <f>"9207AG3K LUNETTE Ø365mm, 27W, 3000K, 3h Notl., aluminiumgrau"</f>
        <v>9207AG3K LUNETTE Ø365mm, 27W, 3000K, 3h Notl., aluminiumgrau</v>
      </c>
      <c r="C1175" s="16">
        <v>675</v>
      </c>
      <c r="D1175" s="11">
        <v>259</v>
      </c>
      <c r="E1175" s="7">
        <f t="shared" si="56"/>
        <v>1</v>
      </c>
      <c r="F1175" s="22" t="str">
        <f>IF(ISERROR(VLOOKUP($A1175,#REF!,3,0)),"x",VLOOKUP($A1175,#REF!,3,FALSE))</f>
        <v>x</v>
      </c>
      <c r="G1175" s="9">
        <f t="shared" si="57"/>
        <v>1</v>
      </c>
      <c r="H1175" s="13">
        <f t="shared" si="58"/>
        <v>675</v>
      </c>
    </row>
    <row r="1176" spans="1:8" x14ac:dyDescent="0.25">
      <c r="A1176" s="2" t="str">
        <f>"LUNS-13NW1"</f>
        <v>LUNS-13NW1</v>
      </c>
      <c r="B1176" s="2" t="str">
        <f>"9204BI4K LUNETTE Ø235mm, 15W, 4000K, N+S , weiß"</f>
        <v>9204BI4K LUNETTE Ø235mm, 15W, 4000K, N+S , weiß</v>
      </c>
      <c r="C1176" s="16">
        <v>652.5</v>
      </c>
      <c r="D1176" s="11">
        <v>259</v>
      </c>
      <c r="E1176" s="7">
        <f t="shared" si="56"/>
        <v>1</v>
      </c>
      <c r="F1176" s="22" t="str">
        <f>IF(ISERROR(VLOOKUP($A1176,#REF!,3,0)),"x",VLOOKUP($A1176,#REF!,3,FALSE))</f>
        <v>x</v>
      </c>
      <c r="G1176" s="9">
        <f t="shared" si="57"/>
        <v>1</v>
      </c>
      <c r="H1176" s="13">
        <f t="shared" si="58"/>
        <v>652.5</v>
      </c>
    </row>
    <row r="1177" spans="1:8" x14ac:dyDescent="0.25">
      <c r="A1177" s="2" t="str">
        <f>"LUNS-13NW6"</f>
        <v>LUNS-13NW6</v>
      </c>
      <c r="B1177" s="2" t="str">
        <f>"9204AN4K LUNETTE Ø235mm, 15W, 4000K, N+S, anthrazit"</f>
        <v>9204AN4K LUNETTE Ø235mm, 15W, 4000K, N+S, anthrazit</v>
      </c>
      <c r="C1177" s="16">
        <v>652.5</v>
      </c>
      <c r="D1177" s="11">
        <v>259</v>
      </c>
      <c r="E1177" s="7">
        <f t="shared" si="56"/>
        <v>1</v>
      </c>
      <c r="F1177" s="22" t="str">
        <f>IF(ISERROR(VLOOKUP($A1177,#REF!,3,0)),"x",VLOOKUP($A1177,#REF!,3,FALSE))</f>
        <v>x</v>
      </c>
      <c r="G1177" s="9">
        <f t="shared" si="57"/>
        <v>1</v>
      </c>
      <c r="H1177" s="13">
        <f t="shared" si="58"/>
        <v>652.5</v>
      </c>
    </row>
    <row r="1178" spans="1:8" x14ac:dyDescent="0.25">
      <c r="A1178" s="2" t="str">
        <f>"LUNS-13NW7"</f>
        <v>LUNS-13NW7</v>
      </c>
      <c r="B1178" s="2" t="str">
        <f>"9204AG4K LUNETTE Ø235mm, 15W, 4000K, N+S, aluminiumgrau"</f>
        <v>9204AG4K LUNETTE Ø235mm, 15W, 4000K, N+S, aluminiumgrau</v>
      </c>
      <c r="C1178" s="16">
        <v>652.5</v>
      </c>
      <c r="D1178" s="11">
        <v>259</v>
      </c>
      <c r="E1178" s="7">
        <f t="shared" si="56"/>
        <v>1</v>
      </c>
      <c r="F1178" s="22" t="str">
        <f>IF(ISERROR(VLOOKUP($A1178,#REF!,3,0)),"x",VLOOKUP($A1178,#REF!,3,FALSE))</f>
        <v>x</v>
      </c>
      <c r="G1178" s="9">
        <f t="shared" si="57"/>
        <v>1</v>
      </c>
      <c r="H1178" s="13">
        <f t="shared" si="58"/>
        <v>652.5</v>
      </c>
    </row>
    <row r="1179" spans="1:8" x14ac:dyDescent="0.25">
      <c r="A1179" s="2" t="str">
        <f>"LUNS-13WW1"</f>
        <v>LUNS-13WW1</v>
      </c>
      <c r="B1179" s="2" t="str">
        <f>"9204BI3K LUNETTE Ø235mm, 15W, 3000K, N+S, weiß"</f>
        <v>9204BI3K LUNETTE Ø235mm, 15W, 3000K, N+S, weiß</v>
      </c>
      <c r="C1179" s="16">
        <v>652.5</v>
      </c>
      <c r="D1179" s="11">
        <v>259</v>
      </c>
      <c r="E1179" s="7">
        <f t="shared" si="56"/>
        <v>1</v>
      </c>
      <c r="F1179" s="22" t="str">
        <f>IF(ISERROR(VLOOKUP($A1179,#REF!,3,0)),"x",VLOOKUP($A1179,#REF!,3,FALSE))</f>
        <v>x</v>
      </c>
      <c r="G1179" s="9">
        <f t="shared" si="57"/>
        <v>1</v>
      </c>
      <c r="H1179" s="13">
        <f t="shared" si="58"/>
        <v>652.5</v>
      </c>
    </row>
    <row r="1180" spans="1:8" x14ac:dyDescent="0.25">
      <c r="A1180" s="2" t="str">
        <f>"LUNS-13WW6"</f>
        <v>LUNS-13WW6</v>
      </c>
      <c r="B1180" s="2" t="str">
        <f>"9204AN3K LUNETTE Ø235mm, 15W, 3000K, N+S, anthrazit"</f>
        <v>9204AN3K LUNETTE Ø235mm, 15W, 3000K, N+S, anthrazit</v>
      </c>
      <c r="C1180" s="16">
        <v>652.5</v>
      </c>
      <c r="D1180" s="11">
        <v>259</v>
      </c>
      <c r="E1180" s="7">
        <f t="shared" si="56"/>
        <v>1</v>
      </c>
      <c r="F1180" s="22" t="str">
        <f>IF(ISERROR(VLOOKUP($A1180,#REF!,3,0)),"x",VLOOKUP($A1180,#REF!,3,FALSE))</f>
        <v>x</v>
      </c>
      <c r="G1180" s="9">
        <f t="shared" si="57"/>
        <v>1</v>
      </c>
      <c r="H1180" s="13">
        <f t="shared" si="58"/>
        <v>652.5</v>
      </c>
    </row>
    <row r="1181" spans="1:8" x14ac:dyDescent="0.25">
      <c r="A1181" s="2" t="str">
        <f>"LUNS-13WW7"</f>
        <v>LUNS-13WW7</v>
      </c>
      <c r="B1181" s="2" t="str">
        <f>"9204AG3K LUNETTE Ø235mm, 15W, 3000K, N+S, aluminiumgrau"</f>
        <v>9204AG3K LUNETTE Ø235mm, 15W, 3000K, N+S, aluminiumgrau</v>
      </c>
      <c r="C1181" s="16">
        <v>652.5</v>
      </c>
      <c r="D1181" s="11">
        <v>259</v>
      </c>
      <c r="E1181" s="7">
        <f t="shared" si="56"/>
        <v>1</v>
      </c>
      <c r="F1181" s="22" t="str">
        <f>IF(ISERROR(VLOOKUP($A1181,#REF!,3,0)),"x",VLOOKUP($A1181,#REF!,3,FALSE))</f>
        <v>x</v>
      </c>
      <c r="G1181" s="9">
        <f t="shared" si="57"/>
        <v>1</v>
      </c>
      <c r="H1181" s="13">
        <f t="shared" si="58"/>
        <v>652.5</v>
      </c>
    </row>
    <row r="1182" spans="1:8" x14ac:dyDescent="0.25">
      <c r="A1182" s="2" t="str">
        <f>"LUNS-25NW1"</f>
        <v>LUNS-25NW1</v>
      </c>
      <c r="B1182" s="2" t="str">
        <f>"9209BI4K LUNETTE Ø365mm, 27W, 4000K, N+S, weiß"</f>
        <v>9209BI4K LUNETTE Ø365mm, 27W, 4000K, N+S, weiß</v>
      </c>
      <c r="C1182" s="16">
        <v>789.5</v>
      </c>
      <c r="D1182" s="11">
        <v>259</v>
      </c>
      <c r="E1182" s="7">
        <f t="shared" si="56"/>
        <v>1</v>
      </c>
      <c r="F1182" s="22" t="str">
        <f>IF(ISERROR(VLOOKUP($A1182,#REF!,3,0)),"x",VLOOKUP($A1182,#REF!,3,FALSE))</f>
        <v>x</v>
      </c>
      <c r="G1182" s="9">
        <f t="shared" si="57"/>
        <v>1</v>
      </c>
      <c r="H1182" s="13">
        <f t="shared" si="58"/>
        <v>789.5</v>
      </c>
    </row>
    <row r="1183" spans="1:8" x14ac:dyDescent="0.25">
      <c r="A1183" s="2" t="str">
        <f>"LUNS-25NW6"</f>
        <v>LUNS-25NW6</v>
      </c>
      <c r="B1183" s="2" t="str">
        <f>"9209AN4K LUNETTE Ø365mm, 27W, 4000K, N+S, anthrazit"</f>
        <v>9209AN4K LUNETTE Ø365mm, 27W, 4000K, N+S, anthrazit</v>
      </c>
      <c r="C1183" s="16">
        <v>789.5</v>
      </c>
      <c r="D1183" s="11">
        <v>259</v>
      </c>
      <c r="E1183" s="7">
        <f t="shared" si="56"/>
        <v>1</v>
      </c>
      <c r="F1183" s="22" t="str">
        <f>IF(ISERROR(VLOOKUP($A1183,#REF!,3,0)),"x",VLOOKUP($A1183,#REF!,3,FALSE))</f>
        <v>x</v>
      </c>
      <c r="G1183" s="9">
        <f t="shared" si="57"/>
        <v>1</v>
      </c>
      <c r="H1183" s="13">
        <f t="shared" si="58"/>
        <v>789.5</v>
      </c>
    </row>
    <row r="1184" spans="1:8" x14ac:dyDescent="0.25">
      <c r="A1184" s="2" t="str">
        <f>"LUNS-25NW7"</f>
        <v>LUNS-25NW7</v>
      </c>
      <c r="B1184" s="2" t="str">
        <f>"9209AG4K LUNETTE Ø365mm, 27W, 4000K, N+S,  aluminiumgrau"</f>
        <v>9209AG4K LUNETTE Ø365mm, 27W, 4000K, N+S,  aluminiumgrau</v>
      </c>
      <c r="C1184" s="16">
        <v>789.5</v>
      </c>
      <c r="D1184" s="11">
        <v>259</v>
      </c>
      <c r="E1184" s="7">
        <f t="shared" si="56"/>
        <v>1</v>
      </c>
      <c r="F1184" s="22" t="str">
        <f>IF(ISERROR(VLOOKUP($A1184,#REF!,3,0)),"x",VLOOKUP($A1184,#REF!,3,FALSE))</f>
        <v>x</v>
      </c>
      <c r="G1184" s="9">
        <f t="shared" si="57"/>
        <v>1</v>
      </c>
      <c r="H1184" s="13">
        <f t="shared" si="58"/>
        <v>789.5</v>
      </c>
    </row>
    <row r="1185" spans="1:8" x14ac:dyDescent="0.25">
      <c r="A1185" s="2" t="str">
        <f>"LUNS-25WW1"</f>
        <v>LUNS-25WW1</v>
      </c>
      <c r="B1185" s="2" t="str">
        <f>"9209BI3K LUNETTE Ø365mm, 27W, 3000K, N+S, weiß"</f>
        <v>9209BI3K LUNETTE Ø365mm, 27W, 3000K, N+S, weiß</v>
      </c>
      <c r="C1185" s="16">
        <v>789.5</v>
      </c>
      <c r="D1185" s="11">
        <v>259</v>
      </c>
      <c r="E1185" s="7">
        <f t="shared" si="56"/>
        <v>1</v>
      </c>
      <c r="F1185" s="22" t="str">
        <f>IF(ISERROR(VLOOKUP($A1185,#REF!,3,0)),"x",VLOOKUP($A1185,#REF!,3,FALSE))</f>
        <v>x</v>
      </c>
      <c r="G1185" s="9">
        <f t="shared" si="57"/>
        <v>1</v>
      </c>
      <c r="H1185" s="13">
        <f t="shared" si="58"/>
        <v>789.5</v>
      </c>
    </row>
    <row r="1186" spans="1:8" x14ac:dyDescent="0.25">
      <c r="A1186" s="2" t="str">
        <f>"LUNS-25WW6"</f>
        <v>LUNS-25WW6</v>
      </c>
      <c r="B1186" s="2" t="str">
        <f>"9209AN3K LUNETTE Ø365mm, 27W, 3000K, N+S, anthrazit"</f>
        <v>9209AN3K LUNETTE Ø365mm, 27W, 3000K, N+S, anthrazit</v>
      </c>
      <c r="C1186" s="16">
        <v>789.5</v>
      </c>
      <c r="D1186" s="11">
        <v>259</v>
      </c>
      <c r="E1186" s="7">
        <f t="shared" si="56"/>
        <v>1</v>
      </c>
      <c r="F1186" s="22" t="str">
        <f>IF(ISERROR(VLOOKUP($A1186,#REF!,3,0)),"x",VLOOKUP($A1186,#REF!,3,FALSE))</f>
        <v>x</v>
      </c>
      <c r="G1186" s="9">
        <f t="shared" si="57"/>
        <v>1</v>
      </c>
      <c r="H1186" s="13">
        <f t="shared" si="58"/>
        <v>789.5</v>
      </c>
    </row>
    <row r="1187" spans="1:8" x14ac:dyDescent="0.25">
      <c r="A1187" s="2" t="str">
        <f>"LUNS-25WW7"</f>
        <v>LUNS-25WW7</v>
      </c>
      <c r="B1187" s="2" t="str">
        <f>"9209AG3K LUNETTE Ø365mm, 27W, 3000K, N+S, aluminiumgrau"</f>
        <v>9209AG3K LUNETTE Ø365mm, 27W, 3000K, N+S, aluminiumgrau</v>
      </c>
      <c r="C1187" s="16">
        <v>789.5</v>
      </c>
      <c r="D1187" s="11">
        <v>259</v>
      </c>
      <c r="E1187" s="7">
        <f t="shared" si="56"/>
        <v>1</v>
      </c>
      <c r="F1187" s="22" t="str">
        <f>IF(ISERROR(VLOOKUP($A1187,#REF!,3,0)),"x",VLOOKUP($A1187,#REF!,3,FALSE))</f>
        <v>x</v>
      </c>
      <c r="G1187" s="9">
        <f t="shared" si="57"/>
        <v>1</v>
      </c>
      <c r="H1187" s="13">
        <f t="shared" si="58"/>
        <v>789.5</v>
      </c>
    </row>
    <row r="1188" spans="1:8" x14ac:dyDescent="0.25">
      <c r="A1188" s="2" t="str">
        <f>"LUS-13NW1"</f>
        <v>LUS-13NW1</v>
      </c>
      <c r="B1188" s="2" t="str">
        <f>"9203BI4K LUNETTE Ø235mm, 15W, 4000K, Sensor, Weiß"</f>
        <v>9203BI4K LUNETTE Ø235mm, 15W, 4000K, Sensor, Weiß</v>
      </c>
      <c r="C1188" s="16">
        <v>442.5</v>
      </c>
      <c r="D1188" s="11">
        <v>259</v>
      </c>
      <c r="E1188" s="7">
        <f t="shared" si="56"/>
        <v>1</v>
      </c>
      <c r="F1188" s="22" t="str">
        <f>IF(ISERROR(VLOOKUP($A1188,#REF!,3,0)),"x",VLOOKUP($A1188,#REF!,3,FALSE))</f>
        <v>x</v>
      </c>
      <c r="G1188" s="9">
        <f t="shared" si="57"/>
        <v>1</v>
      </c>
      <c r="H1188" s="13">
        <f t="shared" si="58"/>
        <v>442.5</v>
      </c>
    </row>
    <row r="1189" spans="1:8" x14ac:dyDescent="0.25">
      <c r="A1189" s="2" t="str">
        <f>"LUS-13NW6"</f>
        <v>LUS-13NW6</v>
      </c>
      <c r="B1189" s="2" t="str">
        <f>"9203AN4K LUNETTE Ø235mm, 15W, 4000K, Sensor, anthrazit"</f>
        <v>9203AN4K LUNETTE Ø235mm, 15W, 4000K, Sensor, anthrazit</v>
      </c>
      <c r="C1189" s="16">
        <v>442.5</v>
      </c>
      <c r="D1189" s="11">
        <v>259</v>
      </c>
      <c r="E1189" s="7">
        <f t="shared" si="56"/>
        <v>1</v>
      </c>
      <c r="F1189" s="22" t="str">
        <f>IF(ISERROR(VLOOKUP($A1189,#REF!,3,0)),"x",VLOOKUP($A1189,#REF!,3,FALSE))</f>
        <v>x</v>
      </c>
      <c r="G1189" s="9">
        <f t="shared" si="57"/>
        <v>1</v>
      </c>
      <c r="H1189" s="13">
        <f t="shared" si="58"/>
        <v>442.5</v>
      </c>
    </row>
    <row r="1190" spans="1:8" x14ac:dyDescent="0.25">
      <c r="A1190" s="2" t="str">
        <f>"LUS-13NW7"</f>
        <v>LUS-13NW7</v>
      </c>
      <c r="B1190" s="2" t="str">
        <f>"9203AG4K LUNETTE Ø235mm, 15W, 4000K, Sensor, aluminiumgrau"</f>
        <v>9203AG4K LUNETTE Ø235mm, 15W, 4000K, Sensor, aluminiumgrau</v>
      </c>
      <c r="C1190" s="16">
        <v>442.5</v>
      </c>
      <c r="D1190" s="11">
        <v>259</v>
      </c>
      <c r="E1190" s="7">
        <f t="shared" si="56"/>
        <v>1</v>
      </c>
      <c r="F1190" s="22" t="str">
        <f>IF(ISERROR(VLOOKUP($A1190,#REF!,3,0)),"x",VLOOKUP($A1190,#REF!,3,FALSE))</f>
        <v>x</v>
      </c>
      <c r="G1190" s="9">
        <f t="shared" si="57"/>
        <v>1</v>
      </c>
      <c r="H1190" s="13">
        <f t="shared" si="58"/>
        <v>442.5</v>
      </c>
    </row>
    <row r="1191" spans="1:8" x14ac:dyDescent="0.25">
      <c r="A1191" s="2" t="str">
        <f>"LUS-13WW1"</f>
        <v>LUS-13WW1</v>
      </c>
      <c r="B1191" s="2" t="str">
        <f>"9203BI3K LUNETTE Ø235mm, 15W, 3000K, Sensor, weiß"</f>
        <v>9203BI3K LUNETTE Ø235mm, 15W, 3000K, Sensor, weiß</v>
      </c>
      <c r="C1191" s="16">
        <v>442.5</v>
      </c>
      <c r="D1191" s="11">
        <v>259</v>
      </c>
      <c r="E1191" s="7">
        <f t="shared" si="56"/>
        <v>1</v>
      </c>
      <c r="F1191" s="22" t="str">
        <f>IF(ISERROR(VLOOKUP($A1191,#REF!,3,0)),"x",VLOOKUP($A1191,#REF!,3,FALSE))</f>
        <v>x</v>
      </c>
      <c r="G1191" s="9">
        <f t="shared" si="57"/>
        <v>1</v>
      </c>
      <c r="H1191" s="13">
        <f t="shared" si="58"/>
        <v>442.5</v>
      </c>
    </row>
    <row r="1192" spans="1:8" x14ac:dyDescent="0.25">
      <c r="A1192" s="2" t="str">
        <f>"LUS-13WW6"</f>
        <v>LUS-13WW6</v>
      </c>
      <c r="B1192" s="2" t="str">
        <f>"9203AN3K LUNETTE Ø235mm, 15W, 3000K, Sensor, anthrazit "</f>
        <v xml:space="preserve">9203AN3K LUNETTE Ø235mm, 15W, 3000K, Sensor, anthrazit </v>
      </c>
      <c r="C1192" s="16">
        <v>442.5</v>
      </c>
      <c r="D1192" s="11">
        <v>259</v>
      </c>
      <c r="E1192" s="7">
        <f t="shared" si="56"/>
        <v>1</v>
      </c>
      <c r="F1192" s="22" t="str">
        <f>IF(ISERROR(VLOOKUP($A1192,#REF!,3,0)),"x",VLOOKUP($A1192,#REF!,3,FALSE))</f>
        <v>x</v>
      </c>
      <c r="G1192" s="9">
        <f t="shared" si="57"/>
        <v>1</v>
      </c>
      <c r="H1192" s="13">
        <f t="shared" si="58"/>
        <v>442.5</v>
      </c>
    </row>
    <row r="1193" spans="1:8" x14ac:dyDescent="0.25">
      <c r="A1193" s="2" t="str">
        <f>"LUS-13WW7"</f>
        <v>LUS-13WW7</v>
      </c>
      <c r="B1193" s="2" t="str">
        <f>"9203AG3K LUNETTE Ø235mm, 15W, 3000K, Sensor, aluminiumgrau"</f>
        <v>9203AG3K LUNETTE Ø235mm, 15W, 3000K, Sensor, aluminiumgrau</v>
      </c>
      <c r="C1193" s="16">
        <v>442.5</v>
      </c>
      <c r="D1193" s="11">
        <v>259</v>
      </c>
      <c r="E1193" s="7">
        <f t="shared" si="56"/>
        <v>1</v>
      </c>
      <c r="F1193" s="22" t="str">
        <f>IF(ISERROR(VLOOKUP($A1193,#REF!,3,0)),"x",VLOOKUP($A1193,#REF!,3,FALSE))</f>
        <v>x</v>
      </c>
      <c r="G1193" s="9">
        <f t="shared" si="57"/>
        <v>1</v>
      </c>
      <c r="H1193" s="13">
        <f t="shared" si="58"/>
        <v>442.5</v>
      </c>
    </row>
    <row r="1194" spans="1:8" x14ac:dyDescent="0.25">
      <c r="A1194" s="2" t="str">
        <f>"LUS-25NW1"</f>
        <v>LUS-25NW1</v>
      </c>
      <c r="B1194" s="2" t="str">
        <f>"9208BI4K LUNETTE Ø365mm, 27W, 4000K, Sensor, weiß"</f>
        <v>9208BI4K LUNETTE Ø365mm, 27W, 4000K, Sensor, weiß</v>
      </c>
      <c r="C1194" s="16">
        <v>597.5</v>
      </c>
      <c r="D1194" s="11">
        <v>259</v>
      </c>
      <c r="E1194" s="7">
        <f t="shared" si="56"/>
        <v>1</v>
      </c>
      <c r="F1194" s="22" t="str">
        <f>IF(ISERROR(VLOOKUP($A1194,#REF!,3,0)),"x",VLOOKUP($A1194,#REF!,3,FALSE))</f>
        <v>x</v>
      </c>
      <c r="G1194" s="9">
        <f t="shared" si="57"/>
        <v>1</v>
      </c>
      <c r="H1194" s="13">
        <f t="shared" si="58"/>
        <v>597.5</v>
      </c>
    </row>
    <row r="1195" spans="1:8" x14ac:dyDescent="0.25">
      <c r="A1195" s="2" t="str">
        <f>"LUS-25NW6"</f>
        <v>LUS-25NW6</v>
      </c>
      <c r="B1195" s="2" t="str">
        <f>"9208AN4K LUNETTE Ø365mm, 27W, 4000K, Sensor, anthrazit"</f>
        <v>9208AN4K LUNETTE Ø365mm, 27W, 4000K, Sensor, anthrazit</v>
      </c>
      <c r="C1195" s="16">
        <v>597.5</v>
      </c>
      <c r="D1195" s="11">
        <v>259</v>
      </c>
      <c r="E1195" s="7">
        <f t="shared" si="56"/>
        <v>1</v>
      </c>
      <c r="F1195" s="22" t="str">
        <f>IF(ISERROR(VLOOKUP($A1195,#REF!,3,0)),"x",VLOOKUP($A1195,#REF!,3,FALSE))</f>
        <v>x</v>
      </c>
      <c r="G1195" s="9">
        <f t="shared" si="57"/>
        <v>1</v>
      </c>
      <c r="H1195" s="13">
        <f t="shared" si="58"/>
        <v>597.5</v>
      </c>
    </row>
    <row r="1196" spans="1:8" x14ac:dyDescent="0.25">
      <c r="A1196" s="2" t="str">
        <f>"LUS-25NW7"</f>
        <v>LUS-25NW7</v>
      </c>
      <c r="B1196" s="2" t="str">
        <f>"9208AG4K LUNETTE Ø365mm, 27W, 4000K, Sensor, aluminiumgrau"</f>
        <v>9208AG4K LUNETTE Ø365mm, 27W, 4000K, Sensor, aluminiumgrau</v>
      </c>
      <c r="C1196" s="16">
        <v>597.5</v>
      </c>
      <c r="D1196" s="11">
        <v>259</v>
      </c>
      <c r="E1196" s="7">
        <f t="shared" si="56"/>
        <v>1</v>
      </c>
      <c r="F1196" s="22" t="str">
        <f>IF(ISERROR(VLOOKUP($A1196,#REF!,3,0)),"x",VLOOKUP($A1196,#REF!,3,FALSE))</f>
        <v>x</v>
      </c>
      <c r="G1196" s="9">
        <f t="shared" si="57"/>
        <v>1</v>
      </c>
      <c r="H1196" s="13">
        <f t="shared" si="58"/>
        <v>597.5</v>
      </c>
    </row>
    <row r="1197" spans="1:8" x14ac:dyDescent="0.25">
      <c r="A1197" s="2" t="str">
        <f>"LUS-25WW1"</f>
        <v>LUS-25WW1</v>
      </c>
      <c r="B1197" s="2" t="str">
        <f>"9208BI3K LUNETTE Ø365mm, 27W, 3000K, Sensor, weiß"</f>
        <v>9208BI3K LUNETTE Ø365mm, 27W, 3000K, Sensor, weiß</v>
      </c>
      <c r="C1197" s="16">
        <v>597.5</v>
      </c>
      <c r="D1197" s="11">
        <v>259</v>
      </c>
      <c r="E1197" s="7">
        <f t="shared" si="56"/>
        <v>1</v>
      </c>
      <c r="F1197" s="22" t="str">
        <f>IF(ISERROR(VLOOKUP($A1197,#REF!,3,0)),"x",VLOOKUP($A1197,#REF!,3,FALSE))</f>
        <v>x</v>
      </c>
      <c r="G1197" s="9">
        <f t="shared" si="57"/>
        <v>1</v>
      </c>
      <c r="H1197" s="13">
        <f t="shared" si="58"/>
        <v>597.5</v>
      </c>
    </row>
    <row r="1198" spans="1:8" x14ac:dyDescent="0.25">
      <c r="A1198" s="2" t="str">
        <f>"LUS-25WW6"</f>
        <v>LUS-25WW6</v>
      </c>
      <c r="B1198" s="2" t="str">
        <f>"9208AN3K LUNETTE Ø365mm, 27W, 3000K, Sensor, anthrazit"</f>
        <v>9208AN3K LUNETTE Ø365mm, 27W, 3000K, Sensor, anthrazit</v>
      </c>
      <c r="C1198" s="16">
        <v>597.5</v>
      </c>
      <c r="D1198" s="11">
        <v>259</v>
      </c>
      <c r="E1198" s="7">
        <f t="shared" si="56"/>
        <v>1</v>
      </c>
      <c r="F1198" s="22" t="str">
        <f>IF(ISERROR(VLOOKUP($A1198,#REF!,3,0)),"x",VLOOKUP($A1198,#REF!,3,FALSE))</f>
        <v>x</v>
      </c>
      <c r="G1198" s="9">
        <f t="shared" si="57"/>
        <v>1</v>
      </c>
      <c r="H1198" s="13">
        <f t="shared" si="58"/>
        <v>597.5</v>
      </c>
    </row>
    <row r="1199" spans="1:8" x14ac:dyDescent="0.25">
      <c r="A1199" s="2" t="str">
        <f>"LUS-25WW7"</f>
        <v>LUS-25WW7</v>
      </c>
      <c r="B1199" s="2" t="str">
        <f>"9208AG3K LUNETTE Ø365mm, 27W, 3000K, Sensor, aluminiumgrau"</f>
        <v>9208AG3K LUNETTE Ø365mm, 27W, 3000K, Sensor, aluminiumgrau</v>
      </c>
      <c r="C1199" s="16">
        <v>597.5</v>
      </c>
      <c r="D1199" s="11">
        <v>259</v>
      </c>
      <c r="E1199" s="7">
        <f t="shared" si="56"/>
        <v>1</v>
      </c>
      <c r="F1199" s="22" t="str">
        <f>IF(ISERROR(VLOOKUP($A1199,#REF!,3,0)),"x",VLOOKUP($A1199,#REF!,3,FALSE))</f>
        <v>x</v>
      </c>
      <c r="G1199" s="9">
        <f t="shared" si="57"/>
        <v>1</v>
      </c>
      <c r="H1199" s="13">
        <f t="shared" si="58"/>
        <v>597.5</v>
      </c>
    </row>
    <row r="1200" spans="1:8" x14ac:dyDescent="0.25">
      <c r="A1200" s="2" t="str">
        <f>"LUX30-10NW1"</f>
        <v>LUX30-10NW1</v>
      </c>
      <c r="B1200" s="2" t="str">
        <f>"1221BI4K LUX SHOWER Deckenaußenleuchte, LED 10W, 4000K, 40°, Alu, weiß"</f>
        <v>1221BI4K LUX SHOWER Deckenaußenleuchte, LED 10W, 4000K, 40°, Alu, weiß</v>
      </c>
      <c r="C1200" s="16">
        <v>221.5</v>
      </c>
      <c r="D1200" s="11">
        <v>301</v>
      </c>
      <c r="E1200" s="7">
        <f t="shared" si="56"/>
        <v>1</v>
      </c>
      <c r="F1200" s="22" t="str">
        <f>IF(ISERROR(VLOOKUP($A1200,#REF!,3,0)),"x",VLOOKUP($A1200,#REF!,3,FALSE))</f>
        <v>x</v>
      </c>
      <c r="G1200" s="9">
        <f t="shared" si="57"/>
        <v>1</v>
      </c>
      <c r="H1200" s="13">
        <f t="shared" si="58"/>
        <v>221.5</v>
      </c>
    </row>
    <row r="1201" spans="1:8" x14ac:dyDescent="0.25">
      <c r="A1201" s="2" t="str">
        <f>"LUX30-10NW1B"</f>
        <v>LUX30-10NW1B</v>
      </c>
      <c r="B1201" s="2" t="str">
        <f>"1221BI4K90 LUX SHOWER Deckenaußenleuchte, LED 10W, 4000K, 90°, Alu, weiß"</f>
        <v>1221BI4K90 LUX SHOWER Deckenaußenleuchte, LED 10W, 4000K, 90°, Alu, weiß</v>
      </c>
      <c r="C1201" s="16">
        <v>221.5</v>
      </c>
      <c r="D1201" s="11">
        <v>301</v>
      </c>
      <c r="E1201" s="7">
        <f t="shared" si="56"/>
        <v>1</v>
      </c>
      <c r="F1201" s="22" t="str">
        <f>IF(ISERROR(VLOOKUP($A1201,#REF!,3,0)),"x",VLOOKUP($A1201,#REF!,3,FALSE))</f>
        <v>x</v>
      </c>
      <c r="G1201" s="9">
        <f t="shared" si="57"/>
        <v>1</v>
      </c>
      <c r="H1201" s="13">
        <f t="shared" si="58"/>
        <v>221.5</v>
      </c>
    </row>
    <row r="1202" spans="1:8" x14ac:dyDescent="0.25">
      <c r="A1202" s="2" t="str">
        <f>"LUX30-10NW1E"</f>
        <v>LUX30-10NW1E</v>
      </c>
      <c r="B1202" s="2" t="str">
        <f>"1221BI4K12 LUX SHOWER Deckenaußenleuchte, LED 10W, 4000K, 12°, Alu, weiß"</f>
        <v>1221BI4K12 LUX SHOWER Deckenaußenleuchte, LED 10W, 4000K, 12°, Alu, weiß</v>
      </c>
      <c r="C1202" s="16">
        <v>221.5</v>
      </c>
      <c r="D1202" s="11">
        <v>301</v>
      </c>
      <c r="E1202" s="7">
        <f t="shared" si="56"/>
        <v>1</v>
      </c>
      <c r="F1202" s="22" t="str">
        <f>IF(ISERROR(VLOOKUP($A1202,#REF!,3,0)),"x",VLOOKUP($A1202,#REF!,3,FALSE))</f>
        <v>x</v>
      </c>
      <c r="G1202" s="9">
        <f t="shared" si="57"/>
        <v>1</v>
      </c>
      <c r="H1202" s="13">
        <f t="shared" si="58"/>
        <v>221.5</v>
      </c>
    </row>
    <row r="1203" spans="1:8" x14ac:dyDescent="0.25">
      <c r="A1203" s="2" t="str">
        <f>"LUX30-10NW1F"</f>
        <v>LUX30-10NW1F</v>
      </c>
      <c r="B1203" s="2" t="str">
        <f>"1222BI4K LUX SHOWER Deckenaußenleuchte, LED 10W, 4000K, 120°, Alu, weiß"</f>
        <v>1222BI4K LUX SHOWER Deckenaußenleuchte, LED 10W, 4000K, 120°, Alu, weiß</v>
      </c>
      <c r="C1203" s="16">
        <v>229.25</v>
      </c>
      <c r="D1203" s="11">
        <v>301</v>
      </c>
      <c r="E1203" s="7">
        <f t="shared" si="56"/>
        <v>1</v>
      </c>
      <c r="F1203" s="22" t="str">
        <f>IF(ISERROR(VLOOKUP($A1203,#REF!,3,0)),"x",VLOOKUP($A1203,#REF!,3,FALSE))</f>
        <v>x</v>
      </c>
      <c r="G1203" s="9">
        <f t="shared" si="57"/>
        <v>1</v>
      </c>
      <c r="H1203" s="13">
        <f t="shared" si="58"/>
        <v>229.25</v>
      </c>
    </row>
    <row r="1204" spans="1:8" x14ac:dyDescent="0.25">
      <c r="A1204" s="2" t="str">
        <f>"LUX30-10NW6"</f>
        <v>LUX30-10NW6</v>
      </c>
      <c r="B1204" s="2" t="str">
        <f>"1221AN4K LUX 30 SHOWER Deckenaußenleuchte, LED 10W, 4000K, 40°, Alu, anthrazit"</f>
        <v>1221AN4K LUX 30 SHOWER Deckenaußenleuchte, LED 10W, 4000K, 40°, Alu, anthrazit</v>
      </c>
      <c r="C1204" s="16">
        <v>221.5</v>
      </c>
      <c r="D1204" s="11">
        <v>301</v>
      </c>
      <c r="E1204" s="7">
        <f t="shared" si="56"/>
        <v>1</v>
      </c>
      <c r="F1204" s="22" t="str">
        <f>IF(ISERROR(VLOOKUP($A1204,#REF!,3,0)),"x",VLOOKUP($A1204,#REF!,3,FALSE))</f>
        <v>x</v>
      </c>
      <c r="G1204" s="9">
        <f t="shared" si="57"/>
        <v>1</v>
      </c>
      <c r="H1204" s="13">
        <f t="shared" si="58"/>
        <v>221.5</v>
      </c>
    </row>
    <row r="1205" spans="1:8" x14ac:dyDescent="0.25">
      <c r="A1205" s="2" t="str">
        <f>"LUX30-10NW6B"</f>
        <v>LUX30-10NW6B</v>
      </c>
      <c r="B1205" s="2" t="str">
        <f>"1221AN4K90 LUX30 SHOWER Deckenaußenleuchte, LED10W, 4000K, 90°, Alu, anthrazit"</f>
        <v>1221AN4K90 LUX30 SHOWER Deckenaußenleuchte, LED10W, 4000K, 90°, Alu, anthrazit</v>
      </c>
      <c r="C1205" s="16">
        <v>221.5</v>
      </c>
      <c r="D1205" s="11">
        <v>301</v>
      </c>
      <c r="E1205" s="7">
        <f t="shared" si="56"/>
        <v>1</v>
      </c>
      <c r="F1205" s="22" t="str">
        <f>IF(ISERROR(VLOOKUP($A1205,#REF!,3,0)),"x",VLOOKUP($A1205,#REF!,3,FALSE))</f>
        <v>x</v>
      </c>
      <c r="G1205" s="9">
        <f t="shared" si="57"/>
        <v>1</v>
      </c>
      <c r="H1205" s="13">
        <f t="shared" si="58"/>
        <v>221.5</v>
      </c>
    </row>
    <row r="1206" spans="1:8" x14ac:dyDescent="0.25">
      <c r="A1206" s="2" t="str">
        <f>"LUX30-10NW6E"</f>
        <v>LUX30-10NW6E</v>
      </c>
      <c r="B1206" s="2" t="str">
        <f>"1221AN4K12 LUX30 SHOWER Deckenaußenleuchte, LED 10W, 4000K,12°, Alu, anthrazit"</f>
        <v>1221AN4K12 LUX30 SHOWER Deckenaußenleuchte, LED 10W, 4000K,12°, Alu, anthrazit</v>
      </c>
      <c r="C1206" s="16">
        <v>221.5</v>
      </c>
      <c r="D1206" s="11">
        <v>301</v>
      </c>
      <c r="E1206" s="7">
        <f t="shared" si="56"/>
        <v>1</v>
      </c>
      <c r="F1206" s="22" t="str">
        <f>IF(ISERROR(VLOOKUP($A1206,#REF!,3,0)),"x",VLOOKUP($A1206,#REF!,3,FALSE))</f>
        <v>x</v>
      </c>
      <c r="G1206" s="9">
        <f t="shared" si="57"/>
        <v>1</v>
      </c>
      <c r="H1206" s="13">
        <f t="shared" si="58"/>
        <v>221.5</v>
      </c>
    </row>
    <row r="1207" spans="1:8" x14ac:dyDescent="0.25">
      <c r="A1207" s="2" t="str">
        <f>"LUX30-10NW6F"</f>
        <v>LUX30-10NW6F</v>
      </c>
      <c r="B1207" s="2" t="str">
        <f>"1222AN4K LUX30 SHOWER Deckenaußenleuchte, LED 10W, 4000K, 120°, Alu, anthrazit"</f>
        <v>1222AN4K LUX30 SHOWER Deckenaußenleuchte, LED 10W, 4000K, 120°, Alu, anthrazit</v>
      </c>
      <c r="C1207" s="16">
        <v>229.25</v>
      </c>
      <c r="D1207" s="11">
        <v>301</v>
      </c>
      <c r="E1207" s="7">
        <f t="shared" si="56"/>
        <v>1</v>
      </c>
      <c r="F1207" s="22" t="str">
        <f>IF(ISERROR(VLOOKUP($A1207,#REF!,3,0)),"x",VLOOKUP($A1207,#REF!,3,FALSE))</f>
        <v>x</v>
      </c>
      <c r="G1207" s="9">
        <f t="shared" si="57"/>
        <v>1</v>
      </c>
      <c r="H1207" s="13">
        <f t="shared" si="58"/>
        <v>229.25</v>
      </c>
    </row>
    <row r="1208" spans="1:8" x14ac:dyDescent="0.25">
      <c r="A1208" s="2" t="str">
        <f>"LUX30-10NW7"</f>
        <v>LUX30-10NW7</v>
      </c>
      <c r="B1208" s="2" t="str">
        <f>"1221AG4K LUX SHOWER Deckenaußenleuchte, LED 10W, 4000K, 40°, Alu, aluminiumgrau"</f>
        <v>1221AG4K LUX SHOWER Deckenaußenleuchte, LED 10W, 4000K, 40°, Alu, aluminiumgrau</v>
      </c>
      <c r="C1208" s="16">
        <v>221.5</v>
      </c>
      <c r="D1208" s="11">
        <v>301</v>
      </c>
      <c r="E1208" s="7">
        <f t="shared" si="56"/>
        <v>1</v>
      </c>
      <c r="F1208" s="22" t="str">
        <f>IF(ISERROR(VLOOKUP($A1208,#REF!,3,0)),"x",VLOOKUP($A1208,#REF!,3,FALSE))</f>
        <v>x</v>
      </c>
      <c r="G1208" s="9">
        <f t="shared" si="57"/>
        <v>1</v>
      </c>
      <c r="H1208" s="13">
        <f t="shared" si="58"/>
        <v>221.5</v>
      </c>
    </row>
    <row r="1209" spans="1:8" x14ac:dyDescent="0.25">
      <c r="A1209" s="2" t="str">
        <f>"LUX30-10NW7B"</f>
        <v>LUX30-10NW7B</v>
      </c>
      <c r="B1209" s="2" t="str">
        <f>"1221AG4K90 LUX SHOWER Deckenaußenleuchte, LED10W, 4000K, 90°, Alu, aluminiumgrau"</f>
        <v>1221AG4K90 LUX SHOWER Deckenaußenleuchte, LED10W, 4000K, 90°, Alu, aluminiumgrau</v>
      </c>
      <c r="C1209" s="16">
        <v>221.5</v>
      </c>
      <c r="D1209" s="11">
        <v>301</v>
      </c>
      <c r="E1209" s="7">
        <f t="shared" si="56"/>
        <v>1</v>
      </c>
      <c r="F1209" s="22" t="str">
        <f>IF(ISERROR(VLOOKUP($A1209,#REF!,3,0)),"x",VLOOKUP($A1209,#REF!,3,FALSE))</f>
        <v>x</v>
      </c>
      <c r="G1209" s="9">
        <f t="shared" si="57"/>
        <v>1</v>
      </c>
      <c r="H1209" s="13">
        <f t="shared" si="58"/>
        <v>221.5</v>
      </c>
    </row>
    <row r="1210" spans="1:8" x14ac:dyDescent="0.25">
      <c r="A1210" s="2" t="str">
        <f>"LUX30-10NW7E"</f>
        <v>LUX30-10NW7E</v>
      </c>
      <c r="B1210" s="2" t="str">
        <f>"1221AG4K12 LUX SHOWER Deckenaußenleuchte, LED 10W, 4000K, 12°, Alu, aluminiumgra"</f>
        <v>1221AG4K12 LUX SHOWER Deckenaußenleuchte, LED 10W, 4000K, 12°, Alu, aluminiumgra</v>
      </c>
      <c r="C1210" s="16">
        <v>221.5</v>
      </c>
      <c r="D1210" s="11">
        <v>301</v>
      </c>
      <c r="E1210" s="7">
        <f t="shared" si="56"/>
        <v>1</v>
      </c>
      <c r="F1210" s="22" t="str">
        <f>IF(ISERROR(VLOOKUP($A1210,#REF!,3,0)),"x",VLOOKUP($A1210,#REF!,3,FALSE))</f>
        <v>x</v>
      </c>
      <c r="G1210" s="9">
        <f t="shared" si="57"/>
        <v>1</v>
      </c>
      <c r="H1210" s="13">
        <f t="shared" si="58"/>
        <v>221.5</v>
      </c>
    </row>
    <row r="1211" spans="1:8" x14ac:dyDescent="0.25">
      <c r="A1211" s="2" t="str">
        <f>"LUX30-10NW7F"</f>
        <v>LUX30-10NW7F</v>
      </c>
      <c r="B1211" s="2" t="str">
        <f>"1222AG4K LUX SHOWER Deckenaußenleuchte, LED 10W, 4000K, 120°, Alu, aluminiumgrau"</f>
        <v>1222AG4K LUX SHOWER Deckenaußenleuchte, LED 10W, 4000K, 120°, Alu, aluminiumgrau</v>
      </c>
      <c r="C1211" s="16">
        <v>229.25</v>
      </c>
      <c r="D1211" s="11">
        <v>301</v>
      </c>
      <c r="E1211" s="7">
        <f t="shared" si="56"/>
        <v>1</v>
      </c>
      <c r="F1211" s="22" t="str">
        <f>IF(ISERROR(VLOOKUP($A1211,#REF!,3,0)),"x",VLOOKUP($A1211,#REF!,3,FALSE))</f>
        <v>x</v>
      </c>
      <c r="G1211" s="9">
        <f t="shared" si="57"/>
        <v>1</v>
      </c>
      <c r="H1211" s="13">
        <f t="shared" si="58"/>
        <v>229.25</v>
      </c>
    </row>
    <row r="1212" spans="1:8" x14ac:dyDescent="0.25">
      <c r="A1212" s="2" t="str">
        <f>"LUX30-10WW1"</f>
        <v>LUX30-10WW1</v>
      </c>
      <c r="B1212" s="2" t="str">
        <f>"1221BI3K LUX SHOWER Deckenaußenleuchte, LED 10W, 3000K, 40°, Alu, weiß"</f>
        <v>1221BI3K LUX SHOWER Deckenaußenleuchte, LED 10W, 3000K, 40°, Alu, weiß</v>
      </c>
      <c r="C1212" s="16">
        <v>221.5</v>
      </c>
      <c r="D1212" s="11">
        <v>301</v>
      </c>
      <c r="E1212" s="7">
        <f t="shared" si="56"/>
        <v>1</v>
      </c>
      <c r="F1212" s="22" t="str">
        <f>IF(ISERROR(VLOOKUP($A1212,#REF!,3,0)),"x",VLOOKUP($A1212,#REF!,3,FALSE))</f>
        <v>x</v>
      </c>
      <c r="G1212" s="9">
        <f t="shared" si="57"/>
        <v>1</v>
      </c>
      <c r="H1212" s="13">
        <f t="shared" si="58"/>
        <v>221.5</v>
      </c>
    </row>
    <row r="1213" spans="1:8" x14ac:dyDescent="0.25">
      <c r="A1213" s="2" t="str">
        <f>"LUX30-10WW1B"</f>
        <v>LUX30-10WW1B</v>
      </c>
      <c r="B1213" s="2" t="str">
        <f>"1221BI3K90 LUX SHOWER Deckenaußenleuchte, LED 10W, 3000K, 90°, Alu, weiß"</f>
        <v>1221BI3K90 LUX SHOWER Deckenaußenleuchte, LED 10W, 3000K, 90°, Alu, weiß</v>
      </c>
      <c r="C1213" s="16">
        <v>221.5</v>
      </c>
      <c r="D1213" s="11">
        <v>301</v>
      </c>
      <c r="E1213" s="7">
        <f t="shared" si="56"/>
        <v>1</v>
      </c>
      <c r="F1213" s="22" t="str">
        <f>IF(ISERROR(VLOOKUP($A1213,#REF!,3,0)),"x",VLOOKUP($A1213,#REF!,3,FALSE))</f>
        <v>x</v>
      </c>
      <c r="G1213" s="9">
        <f t="shared" si="57"/>
        <v>1</v>
      </c>
      <c r="H1213" s="13">
        <f t="shared" si="58"/>
        <v>221.5</v>
      </c>
    </row>
    <row r="1214" spans="1:8" x14ac:dyDescent="0.25">
      <c r="A1214" s="2" t="str">
        <f>"LUX30-10WW1E"</f>
        <v>LUX30-10WW1E</v>
      </c>
      <c r="B1214" s="2" t="str">
        <f>"1221BI3K12 LUX SHOWER Deckenaußenleuchte, LED 10W, 3000K, 12°, Alu, weiß"</f>
        <v>1221BI3K12 LUX SHOWER Deckenaußenleuchte, LED 10W, 3000K, 12°, Alu, weiß</v>
      </c>
      <c r="C1214" s="16">
        <v>221.5</v>
      </c>
      <c r="D1214" s="11">
        <v>301</v>
      </c>
      <c r="E1214" s="7">
        <f t="shared" si="56"/>
        <v>1</v>
      </c>
      <c r="F1214" s="22" t="str">
        <f>IF(ISERROR(VLOOKUP($A1214,#REF!,3,0)),"x",VLOOKUP($A1214,#REF!,3,FALSE))</f>
        <v>x</v>
      </c>
      <c r="G1214" s="9">
        <f t="shared" si="57"/>
        <v>1</v>
      </c>
      <c r="H1214" s="13">
        <f t="shared" si="58"/>
        <v>221.5</v>
      </c>
    </row>
    <row r="1215" spans="1:8" x14ac:dyDescent="0.25">
      <c r="A1215" s="2" t="str">
        <f>"LUX30-10WW1F"</f>
        <v>LUX30-10WW1F</v>
      </c>
      <c r="B1215" s="2" t="str">
        <f>"1222BI3K LUX SHOWER Deckenaußenleuchte, LED 10W, 3000K, 120°, Alu, weiß"</f>
        <v>1222BI3K LUX SHOWER Deckenaußenleuchte, LED 10W, 3000K, 120°, Alu, weiß</v>
      </c>
      <c r="C1215" s="16">
        <v>229.25</v>
      </c>
      <c r="D1215" s="11">
        <v>301</v>
      </c>
      <c r="E1215" s="7">
        <f t="shared" si="56"/>
        <v>1</v>
      </c>
      <c r="F1215" s="22" t="str">
        <f>IF(ISERROR(VLOOKUP($A1215,#REF!,3,0)),"x",VLOOKUP($A1215,#REF!,3,FALSE))</f>
        <v>x</v>
      </c>
      <c r="G1215" s="9">
        <f t="shared" si="57"/>
        <v>1</v>
      </c>
      <c r="H1215" s="13">
        <f t="shared" si="58"/>
        <v>229.25</v>
      </c>
    </row>
    <row r="1216" spans="1:8" x14ac:dyDescent="0.25">
      <c r="A1216" s="2" t="str">
        <f>"LUX30-10WW6"</f>
        <v>LUX30-10WW6</v>
      </c>
      <c r="B1216" s="2" t="str">
        <f>"1221AN3K LUX 30 SHOWER Deckenaußenleuchte, LED 10W, 3000K, 40°, Alu, anthrazit"</f>
        <v>1221AN3K LUX 30 SHOWER Deckenaußenleuchte, LED 10W, 3000K, 40°, Alu, anthrazit</v>
      </c>
      <c r="C1216" s="16">
        <v>221.5</v>
      </c>
      <c r="D1216" s="11">
        <v>301</v>
      </c>
      <c r="E1216" s="7">
        <f t="shared" si="56"/>
        <v>1</v>
      </c>
      <c r="F1216" s="22" t="str">
        <f>IF(ISERROR(VLOOKUP($A1216,#REF!,3,0)),"x",VLOOKUP($A1216,#REF!,3,FALSE))</f>
        <v>x</v>
      </c>
      <c r="G1216" s="9">
        <f t="shared" si="57"/>
        <v>1</v>
      </c>
      <c r="H1216" s="13">
        <f t="shared" si="58"/>
        <v>221.5</v>
      </c>
    </row>
    <row r="1217" spans="1:8" x14ac:dyDescent="0.25">
      <c r="A1217" s="2" t="str">
        <f>"LUX30-10WW6B"</f>
        <v>LUX30-10WW6B</v>
      </c>
      <c r="B1217" s="2" t="str">
        <f>"1221AN3K90 LUX30 SHOWER Deckenaußenleuchte, LED10W, 3000K, 90°, Alu, anthrazit"</f>
        <v>1221AN3K90 LUX30 SHOWER Deckenaußenleuchte, LED10W, 3000K, 90°, Alu, anthrazit</v>
      </c>
      <c r="C1217" s="16">
        <v>221.5</v>
      </c>
      <c r="D1217" s="11">
        <v>301</v>
      </c>
      <c r="E1217" s="7">
        <f t="shared" si="56"/>
        <v>1</v>
      </c>
      <c r="F1217" s="22" t="str">
        <f>IF(ISERROR(VLOOKUP($A1217,#REF!,3,0)),"x",VLOOKUP($A1217,#REF!,3,FALSE))</f>
        <v>x</v>
      </c>
      <c r="G1217" s="9">
        <f t="shared" si="57"/>
        <v>1</v>
      </c>
      <c r="H1217" s="13">
        <f t="shared" si="58"/>
        <v>221.5</v>
      </c>
    </row>
    <row r="1218" spans="1:8" x14ac:dyDescent="0.25">
      <c r="A1218" s="2" t="str">
        <f>"LUX30-10WW6E"</f>
        <v>LUX30-10WW6E</v>
      </c>
      <c r="B1218" s="2" t="str">
        <f>"1221AN3K12 LUX30 SHOWER Deckenaußenleuchte, LED 10W, 3000K,12°, Alu, anthrazit"</f>
        <v>1221AN3K12 LUX30 SHOWER Deckenaußenleuchte, LED 10W, 3000K,12°, Alu, anthrazit</v>
      </c>
      <c r="C1218" s="16">
        <v>221.5</v>
      </c>
      <c r="D1218" s="11">
        <v>301</v>
      </c>
      <c r="E1218" s="7">
        <f t="shared" si="56"/>
        <v>1</v>
      </c>
      <c r="F1218" s="22" t="str">
        <f>IF(ISERROR(VLOOKUP($A1218,#REF!,3,0)),"x",VLOOKUP($A1218,#REF!,3,FALSE))</f>
        <v>x</v>
      </c>
      <c r="G1218" s="9">
        <f t="shared" si="57"/>
        <v>1</v>
      </c>
      <c r="H1218" s="13">
        <f t="shared" si="58"/>
        <v>221.5</v>
      </c>
    </row>
    <row r="1219" spans="1:8" x14ac:dyDescent="0.25">
      <c r="A1219" s="2" t="str">
        <f>"LUX30-10WW6F"</f>
        <v>LUX30-10WW6F</v>
      </c>
      <c r="B1219" s="2" t="str">
        <f>"1222AN3K LUX30 SHOWER Deckenaußenleuchte, LED 10W, 3000K, 120°, Alu, anthrazit"</f>
        <v>1222AN3K LUX30 SHOWER Deckenaußenleuchte, LED 10W, 3000K, 120°, Alu, anthrazit</v>
      </c>
      <c r="C1219" s="16">
        <v>229.25</v>
      </c>
      <c r="D1219" s="11">
        <v>301</v>
      </c>
      <c r="E1219" s="7">
        <f t="shared" ref="E1219:E1282" si="59">G1219</f>
        <v>1</v>
      </c>
      <c r="F1219" s="22" t="str">
        <f>IF(ISERROR(VLOOKUP($A1219,#REF!,3,0)),"x",VLOOKUP($A1219,#REF!,3,FALSE))</f>
        <v>x</v>
      </c>
      <c r="G1219" s="9">
        <f t="shared" ref="G1219:G1282" si="60">IF(C1219&lt;F1219,1,IF(C1219&gt;F1219,-1,0))</f>
        <v>1</v>
      </c>
      <c r="H1219" s="13">
        <f t="shared" si="58"/>
        <v>229.25</v>
      </c>
    </row>
    <row r="1220" spans="1:8" x14ac:dyDescent="0.25">
      <c r="A1220" s="2" t="str">
        <f>"LUX30-10WW7"</f>
        <v>LUX30-10WW7</v>
      </c>
      <c r="B1220" s="2" t="str">
        <f>"1221AG3K LUX SHOWER Deckenaußenleuchte, LED 10W, 3000K, 40°, Alu, aluminiumgrau"</f>
        <v>1221AG3K LUX SHOWER Deckenaußenleuchte, LED 10W, 3000K, 40°, Alu, aluminiumgrau</v>
      </c>
      <c r="C1220" s="16">
        <v>221.5</v>
      </c>
      <c r="D1220" s="11">
        <v>301</v>
      </c>
      <c r="E1220" s="7">
        <f t="shared" si="59"/>
        <v>1</v>
      </c>
      <c r="F1220" s="22" t="str">
        <f>IF(ISERROR(VLOOKUP($A1220,#REF!,3,0)),"x",VLOOKUP($A1220,#REF!,3,FALSE))</f>
        <v>x</v>
      </c>
      <c r="G1220" s="9">
        <f t="shared" si="60"/>
        <v>1</v>
      </c>
      <c r="H1220" s="13">
        <f t="shared" si="58"/>
        <v>221.5</v>
      </c>
    </row>
    <row r="1221" spans="1:8" x14ac:dyDescent="0.25">
      <c r="A1221" s="2" t="str">
        <f>"LUX30-10WW7B"</f>
        <v>LUX30-10WW7B</v>
      </c>
      <c r="B1221" s="2" t="str">
        <f>"1221AG3K90 LUX SHOWER Deckenaußenleuchte, LED10W, 3000K, 90°, Alu, aluminiumgrau"</f>
        <v>1221AG3K90 LUX SHOWER Deckenaußenleuchte, LED10W, 3000K, 90°, Alu, aluminiumgrau</v>
      </c>
      <c r="C1221" s="16">
        <v>221.5</v>
      </c>
      <c r="D1221" s="11">
        <v>301</v>
      </c>
      <c r="E1221" s="7">
        <f t="shared" si="59"/>
        <v>1</v>
      </c>
      <c r="F1221" s="22" t="str">
        <f>IF(ISERROR(VLOOKUP($A1221,#REF!,3,0)),"x",VLOOKUP($A1221,#REF!,3,FALSE))</f>
        <v>x</v>
      </c>
      <c r="G1221" s="9">
        <f t="shared" si="60"/>
        <v>1</v>
      </c>
      <c r="H1221" s="13">
        <f t="shared" ref="H1221:H1284" si="61">IF(F1221="x",C1221,F1221)</f>
        <v>221.5</v>
      </c>
    </row>
    <row r="1222" spans="1:8" x14ac:dyDescent="0.25">
      <c r="A1222" s="2" t="str">
        <f>"LUX30-10WW7E"</f>
        <v>LUX30-10WW7E</v>
      </c>
      <c r="B1222" s="2" t="str">
        <f>"1221AG3K12 LUX SHOWER Deckenaußenleuchte, LED 10W, 3000K, 12°, Alu, aluminiumgra"</f>
        <v>1221AG3K12 LUX SHOWER Deckenaußenleuchte, LED 10W, 3000K, 12°, Alu, aluminiumgra</v>
      </c>
      <c r="C1222" s="16">
        <v>221.5</v>
      </c>
      <c r="D1222" s="11">
        <v>301</v>
      </c>
      <c r="E1222" s="7">
        <f t="shared" si="59"/>
        <v>1</v>
      </c>
      <c r="F1222" s="22" t="str">
        <f>IF(ISERROR(VLOOKUP($A1222,#REF!,3,0)),"x",VLOOKUP($A1222,#REF!,3,FALSE))</f>
        <v>x</v>
      </c>
      <c r="G1222" s="9">
        <f t="shared" si="60"/>
        <v>1</v>
      </c>
      <c r="H1222" s="13">
        <f t="shared" si="61"/>
        <v>221.5</v>
      </c>
    </row>
    <row r="1223" spans="1:8" x14ac:dyDescent="0.25">
      <c r="A1223" s="2" t="str">
        <f>"LUX30-10WW7F"</f>
        <v>LUX30-10WW7F</v>
      </c>
      <c r="B1223" s="2" t="str">
        <f>"1222AG3K LUX SHOWER Deckenaußenleuchte, LED 10W, 3000K, 120°, Alu, aluminiumgrau"</f>
        <v>1222AG3K LUX SHOWER Deckenaußenleuchte, LED 10W, 3000K, 120°, Alu, aluminiumgrau</v>
      </c>
      <c r="C1223" s="16">
        <v>229.25</v>
      </c>
      <c r="D1223" s="11">
        <v>301</v>
      </c>
      <c r="E1223" s="7">
        <f t="shared" si="59"/>
        <v>1</v>
      </c>
      <c r="F1223" s="22" t="str">
        <f>IF(ISERROR(VLOOKUP($A1223,#REF!,3,0)),"x",VLOOKUP($A1223,#REF!,3,FALSE))</f>
        <v>x</v>
      </c>
      <c r="G1223" s="9">
        <f t="shared" si="60"/>
        <v>1</v>
      </c>
      <c r="H1223" s="13">
        <f t="shared" si="61"/>
        <v>229.25</v>
      </c>
    </row>
    <row r="1224" spans="1:8" x14ac:dyDescent="0.25">
      <c r="A1224" s="2" t="str">
        <f>"LUXR30-10NW1"</f>
        <v>LUXR30-10NW1</v>
      </c>
      <c r="B1224" s="2" t="str">
        <f>"1241BI4K LUX SHOWER Deckenaußenleuchte rund, LED 10W, 4000K, 40°, weiß"</f>
        <v>1241BI4K LUX SHOWER Deckenaußenleuchte rund, LED 10W, 4000K, 40°, weiß</v>
      </c>
      <c r="C1224" s="16">
        <v>224.25</v>
      </c>
      <c r="D1224" s="11">
        <v>301</v>
      </c>
      <c r="E1224" s="7">
        <f t="shared" si="59"/>
        <v>1</v>
      </c>
      <c r="F1224" s="22" t="str">
        <f>IF(ISERROR(VLOOKUP($A1224,#REF!,3,0)),"x",VLOOKUP($A1224,#REF!,3,FALSE))</f>
        <v>x</v>
      </c>
      <c r="G1224" s="9">
        <f t="shared" si="60"/>
        <v>1</v>
      </c>
      <c r="H1224" s="13">
        <f t="shared" si="61"/>
        <v>224.25</v>
      </c>
    </row>
    <row r="1225" spans="1:8" x14ac:dyDescent="0.25">
      <c r="A1225" s="2" t="str">
        <f>"LUXR30-10NW6"</f>
        <v>LUXR30-10NW6</v>
      </c>
      <c r="B1225" s="2" t="str">
        <f>"1241AN4K LUX SHOWER Deckenaußenleuchte rund,LED 10W, 4000K, 40°, anthrazit"</f>
        <v>1241AN4K LUX SHOWER Deckenaußenleuchte rund,LED 10W, 4000K, 40°, anthrazit</v>
      </c>
      <c r="C1225" s="16">
        <v>224.25</v>
      </c>
      <c r="D1225" s="11">
        <v>301</v>
      </c>
      <c r="E1225" s="7">
        <f t="shared" si="59"/>
        <v>1</v>
      </c>
      <c r="F1225" s="22" t="str">
        <f>IF(ISERROR(VLOOKUP($A1225,#REF!,3,0)),"x",VLOOKUP($A1225,#REF!,3,FALSE))</f>
        <v>x</v>
      </c>
      <c r="G1225" s="9">
        <f t="shared" si="60"/>
        <v>1</v>
      </c>
      <c r="H1225" s="13">
        <f t="shared" si="61"/>
        <v>224.25</v>
      </c>
    </row>
    <row r="1226" spans="1:8" x14ac:dyDescent="0.25">
      <c r="A1226" s="2" t="str">
        <f>"LUXR30-10NW7"</f>
        <v>LUXR30-10NW7</v>
      </c>
      <c r="B1226" s="2" t="str">
        <f>"1241AG4K LUX SHOWER Deckenaußenleuchte rund, LED10W, 4000K, 40°, aluminiumgrau"</f>
        <v>1241AG4K LUX SHOWER Deckenaußenleuchte rund, LED10W, 4000K, 40°, aluminiumgrau</v>
      </c>
      <c r="C1226" s="16">
        <v>224.25</v>
      </c>
      <c r="D1226" s="11">
        <v>301</v>
      </c>
      <c r="E1226" s="7">
        <f t="shared" si="59"/>
        <v>1</v>
      </c>
      <c r="F1226" s="22" t="str">
        <f>IF(ISERROR(VLOOKUP($A1226,#REF!,3,0)),"x",VLOOKUP($A1226,#REF!,3,FALSE))</f>
        <v>x</v>
      </c>
      <c r="G1226" s="9">
        <f t="shared" si="60"/>
        <v>1</v>
      </c>
      <c r="H1226" s="13">
        <f t="shared" si="61"/>
        <v>224.25</v>
      </c>
    </row>
    <row r="1227" spans="1:8" x14ac:dyDescent="0.25">
      <c r="A1227" s="2" t="str">
        <f>"LUXR30-10WW1"</f>
        <v>LUXR30-10WW1</v>
      </c>
      <c r="B1227" s="2" t="str">
        <f>"1241BI3K LUX SHOWER Deckenaußenleuchte rund, LED 10W, 3000K, 40°, weiß"</f>
        <v>1241BI3K LUX SHOWER Deckenaußenleuchte rund, LED 10W, 3000K, 40°, weiß</v>
      </c>
      <c r="C1227" s="16">
        <v>224.25</v>
      </c>
      <c r="D1227" s="11">
        <v>301</v>
      </c>
      <c r="E1227" s="7">
        <f t="shared" si="59"/>
        <v>1</v>
      </c>
      <c r="F1227" s="22" t="str">
        <f>IF(ISERROR(VLOOKUP($A1227,#REF!,3,0)),"x",VLOOKUP($A1227,#REF!,3,FALSE))</f>
        <v>x</v>
      </c>
      <c r="G1227" s="9">
        <f t="shared" si="60"/>
        <v>1</v>
      </c>
      <c r="H1227" s="13">
        <f t="shared" si="61"/>
        <v>224.25</v>
      </c>
    </row>
    <row r="1228" spans="1:8" x14ac:dyDescent="0.25">
      <c r="A1228" s="2" t="str">
        <f>"LUXR30-10WW6"</f>
        <v>LUXR30-10WW6</v>
      </c>
      <c r="B1228" s="2" t="str">
        <f>"1241AN3K LUX SHOWER Deckenaußenleuchte rund, LED10W, 3000K, 40°, anthrazit"</f>
        <v>1241AN3K LUX SHOWER Deckenaußenleuchte rund, LED10W, 3000K, 40°, anthrazit</v>
      </c>
      <c r="C1228" s="16">
        <v>224.25</v>
      </c>
      <c r="D1228" s="11">
        <v>301</v>
      </c>
      <c r="E1228" s="7">
        <f t="shared" si="59"/>
        <v>1</v>
      </c>
      <c r="F1228" s="22" t="str">
        <f>IF(ISERROR(VLOOKUP($A1228,#REF!,3,0)),"x",VLOOKUP($A1228,#REF!,3,FALSE))</f>
        <v>x</v>
      </c>
      <c r="G1228" s="9">
        <f t="shared" si="60"/>
        <v>1</v>
      </c>
      <c r="H1228" s="13">
        <f t="shared" si="61"/>
        <v>224.25</v>
      </c>
    </row>
    <row r="1229" spans="1:8" x14ac:dyDescent="0.25">
      <c r="A1229" s="2" t="str">
        <f>"LUXR30-10WW7"</f>
        <v>LUXR30-10WW7</v>
      </c>
      <c r="B1229" s="2" t="str">
        <f>"1241AG3K LUX SHOWER Deckenaußenleuchte rund, LED10W, 3000K, 40°, aluminiumgrau"</f>
        <v>1241AG3K LUX SHOWER Deckenaußenleuchte rund, LED10W, 3000K, 40°, aluminiumgrau</v>
      </c>
      <c r="C1229" s="16">
        <v>224.25</v>
      </c>
      <c r="D1229" s="11">
        <v>301</v>
      </c>
      <c r="E1229" s="7">
        <f t="shared" si="59"/>
        <v>1</v>
      </c>
      <c r="F1229" s="22" t="str">
        <f>IF(ISERROR(VLOOKUP($A1229,#REF!,3,0)),"x",VLOOKUP($A1229,#REF!,3,FALSE))</f>
        <v>x</v>
      </c>
      <c r="G1229" s="9">
        <f t="shared" si="60"/>
        <v>1</v>
      </c>
      <c r="H1229" s="13">
        <f t="shared" si="61"/>
        <v>224.25</v>
      </c>
    </row>
    <row r="1230" spans="1:8" x14ac:dyDescent="0.25">
      <c r="A1230" s="2" t="str">
        <f>"LUXUF-8NW7"</f>
        <v>LUXUF-8NW7</v>
      </c>
      <c r="B1230" s="2" t="str">
        <f>"1479AG4K LUX INSIDE UltraFlat Deckenaußenleuchte, LED 8W, 4000K, aluminiumgrau"</f>
        <v>1479AG4K LUX INSIDE UltraFlat Deckenaußenleuchte, LED 8W, 4000K, aluminiumgrau</v>
      </c>
      <c r="C1230" s="16">
        <v>278.75</v>
      </c>
      <c r="D1230" s="11">
        <v>299</v>
      </c>
      <c r="E1230" s="7">
        <f t="shared" si="59"/>
        <v>1</v>
      </c>
      <c r="F1230" s="22" t="str">
        <f>IF(ISERROR(VLOOKUP($A1230,#REF!,3,0)),"x",VLOOKUP($A1230,#REF!,3,FALSE))</f>
        <v>x</v>
      </c>
      <c r="G1230" s="9">
        <f t="shared" si="60"/>
        <v>1</v>
      </c>
      <c r="H1230" s="13">
        <f t="shared" si="61"/>
        <v>278.75</v>
      </c>
    </row>
    <row r="1231" spans="1:8" x14ac:dyDescent="0.25">
      <c r="A1231" s="2" t="str">
        <f>"LUXUF-8WW7"</f>
        <v>LUXUF-8WW7</v>
      </c>
      <c r="B1231" s="2" t="str">
        <f>"1479AG3K LUX INSIDE UltraFlat Deckenaußenleuchte, LED 8W, 3000K, aluminiumgrau"</f>
        <v>1479AG3K LUX INSIDE UltraFlat Deckenaußenleuchte, LED 8W, 3000K, aluminiumgrau</v>
      </c>
      <c r="C1231" s="16">
        <v>278.75</v>
      </c>
      <c r="D1231" s="11">
        <v>299</v>
      </c>
      <c r="E1231" s="7">
        <f t="shared" si="59"/>
        <v>1</v>
      </c>
      <c r="F1231" s="22" t="str">
        <f>IF(ISERROR(VLOOKUP($A1231,#REF!,3,0)),"x",VLOOKUP($A1231,#REF!,3,FALSE))</f>
        <v>x</v>
      </c>
      <c r="G1231" s="9">
        <f t="shared" si="60"/>
        <v>1</v>
      </c>
      <c r="H1231" s="13">
        <f t="shared" si="61"/>
        <v>278.75</v>
      </c>
    </row>
    <row r="1232" spans="1:8" x14ac:dyDescent="0.25">
      <c r="A1232" s="2" t="str">
        <f>"MAT-14NW08"</f>
        <v>MAT-14NW08</v>
      </c>
      <c r="B1232" s="2" t="str">
        <f>"MATITA Pollerleuchte, LED 10W, 4000K, H=500 mm, Ibiza sand"</f>
        <v>MATITA Pollerleuchte, LED 10W, 4000K, H=500 mm, Ibiza sand</v>
      </c>
      <c r="C1232" s="16">
        <v>360.5</v>
      </c>
      <c r="D1232" s="11">
        <v>339</v>
      </c>
      <c r="E1232" s="7">
        <f t="shared" si="59"/>
        <v>1</v>
      </c>
      <c r="F1232" s="22" t="str">
        <f>IF(ISERROR(VLOOKUP($A1232,#REF!,3,0)),"x",VLOOKUP($A1232,#REF!,3,FALSE))</f>
        <v>x</v>
      </c>
      <c r="G1232" s="9">
        <f t="shared" si="60"/>
        <v>1</v>
      </c>
      <c r="H1232" s="13">
        <f t="shared" si="61"/>
        <v>360.5</v>
      </c>
    </row>
    <row r="1233" spans="1:8" x14ac:dyDescent="0.25">
      <c r="A1233" s="2" t="str">
        <f>"MAT-14NW1"</f>
        <v>MAT-14NW1</v>
      </c>
      <c r="B1233" s="2" t="str">
        <f>"MATITA Pollerleuchte, LED 10W, 4000K, H=500 mm, weiß"</f>
        <v>MATITA Pollerleuchte, LED 10W, 4000K, H=500 mm, weiß</v>
      </c>
      <c r="C1233" s="16">
        <v>360.5</v>
      </c>
      <c r="D1233" s="11">
        <v>339</v>
      </c>
      <c r="E1233" s="7">
        <f t="shared" si="59"/>
        <v>1</v>
      </c>
      <c r="F1233" s="22" t="str">
        <f>IF(ISERROR(VLOOKUP($A1233,#REF!,3,0)),"x",VLOOKUP($A1233,#REF!,3,FALSE))</f>
        <v>x</v>
      </c>
      <c r="G1233" s="9">
        <f t="shared" si="60"/>
        <v>1</v>
      </c>
      <c r="H1233" s="13">
        <f t="shared" si="61"/>
        <v>360.5</v>
      </c>
    </row>
    <row r="1234" spans="1:8" x14ac:dyDescent="0.25">
      <c r="A1234" s="2" t="str">
        <f>"MAT-14NW6"</f>
        <v>MAT-14NW6</v>
      </c>
      <c r="B1234" s="2" t="str">
        <f>"MATITA Pollerleuchte, LED 10W, 4000K, H=500 mm, anthrazit"</f>
        <v>MATITA Pollerleuchte, LED 10W, 4000K, H=500 mm, anthrazit</v>
      </c>
      <c r="C1234" s="16">
        <v>360.5</v>
      </c>
      <c r="D1234" s="11">
        <v>339</v>
      </c>
      <c r="E1234" s="7">
        <f t="shared" si="59"/>
        <v>1</v>
      </c>
      <c r="F1234" s="22" t="str">
        <f>IF(ISERROR(VLOOKUP($A1234,#REF!,3,0)),"x",VLOOKUP($A1234,#REF!,3,FALSE))</f>
        <v>x</v>
      </c>
      <c r="G1234" s="9">
        <f t="shared" si="60"/>
        <v>1</v>
      </c>
      <c r="H1234" s="13">
        <f t="shared" si="61"/>
        <v>360.5</v>
      </c>
    </row>
    <row r="1235" spans="1:8" x14ac:dyDescent="0.25">
      <c r="A1235" s="2" t="str">
        <f>"MAT-14NW7"</f>
        <v>MAT-14NW7</v>
      </c>
      <c r="B1235" s="2" t="str">
        <f>"MATITA Pollerleuchte, LED 10W, 4000K, H=500 mm, alugrau"</f>
        <v>MATITA Pollerleuchte, LED 10W, 4000K, H=500 mm, alugrau</v>
      </c>
      <c r="C1235" s="16">
        <v>360.5</v>
      </c>
      <c r="D1235" s="11">
        <v>339</v>
      </c>
      <c r="E1235" s="7">
        <f t="shared" si="59"/>
        <v>1</v>
      </c>
      <c r="F1235" s="22" t="str">
        <f>IF(ISERROR(VLOOKUP($A1235,#REF!,3,0)),"x",VLOOKUP($A1235,#REF!,3,FALSE))</f>
        <v>x</v>
      </c>
      <c r="G1235" s="9">
        <f t="shared" si="60"/>
        <v>1</v>
      </c>
      <c r="H1235" s="13">
        <f t="shared" si="61"/>
        <v>360.5</v>
      </c>
    </row>
    <row r="1236" spans="1:8" x14ac:dyDescent="0.25">
      <c r="A1236" s="2" t="str">
        <f>"MAT-14WW08"</f>
        <v>MAT-14WW08</v>
      </c>
      <c r="B1236" s="2" t="str">
        <f>"MATITA Pollerleuchte, LED 10W, 3000K, H=500 mm, Ibiza sand"</f>
        <v>MATITA Pollerleuchte, LED 10W, 3000K, H=500 mm, Ibiza sand</v>
      </c>
      <c r="C1236" s="16">
        <v>360.5</v>
      </c>
      <c r="D1236" s="11">
        <v>339</v>
      </c>
      <c r="E1236" s="7">
        <f t="shared" si="59"/>
        <v>1</v>
      </c>
      <c r="F1236" s="22" t="str">
        <f>IF(ISERROR(VLOOKUP($A1236,#REF!,3,0)),"x",VLOOKUP($A1236,#REF!,3,FALSE))</f>
        <v>x</v>
      </c>
      <c r="G1236" s="9">
        <f t="shared" si="60"/>
        <v>1</v>
      </c>
      <c r="H1236" s="13">
        <f t="shared" si="61"/>
        <v>360.5</v>
      </c>
    </row>
    <row r="1237" spans="1:8" x14ac:dyDescent="0.25">
      <c r="A1237" s="2" t="str">
        <f>"MAT-14WW1"</f>
        <v>MAT-14WW1</v>
      </c>
      <c r="B1237" s="2" t="str">
        <f>"MATITA Pollerleuchte, LED 10W, 3000K, H=500 mm, weiß"</f>
        <v>MATITA Pollerleuchte, LED 10W, 3000K, H=500 mm, weiß</v>
      </c>
      <c r="C1237" s="16">
        <v>360.5</v>
      </c>
      <c r="D1237" s="11">
        <v>339</v>
      </c>
      <c r="E1237" s="7">
        <f t="shared" si="59"/>
        <v>1</v>
      </c>
      <c r="F1237" s="22" t="str">
        <f>IF(ISERROR(VLOOKUP($A1237,#REF!,3,0)),"x",VLOOKUP($A1237,#REF!,3,FALSE))</f>
        <v>x</v>
      </c>
      <c r="G1237" s="9">
        <f t="shared" si="60"/>
        <v>1</v>
      </c>
      <c r="H1237" s="13">
        <f t="shared" si="61"/>
        <v>360.5</v>
      </c>
    </row>
    <row r="1238" spans="1:8" x14ac:dyDescent="0.25">
      <c r="A1238" s="2" t="str">
        <f>"MAT-14WW6"</f>
        <v>MAT-14WW6</v>
      </c>
      <c r="B1238" s="2" t="str">
        <f>"MATITA Pollerleuchte, LED 10W, 3000K, H=500 mm, anthrazit"</f>
        <v>MATITA Pollerleuchte, LED 10W, 3000K, H=500 mm, anthrazit</v>
      </c>
      <c r="C1238" s="16">
        <v>360.5</v>
      </c>
      <c r="D1238" s="11">
        <v>339</v>
      </c>
      <c r="E1238" s="7">
        <f t="shared" si="59"/>
        <v>1</v>
      </c>
      <c r="F1238" s="22" t="str">
        <f>IF(ISERROR(VLOOKUP($A1238,#REF!,3,0)),"x",VLOOKUP($A1238,#REF!,3,FALSE))</f>
        <v>x</v>
      </c>
      <c r="G1238" s="9">
        <f t="shared" si="60"/>
        <v>1</v>
      </c>
      <c r="H1238" s="13">
        <f t="shared" si="61"/>
        <v>360.5</v>
      </c>
    </row>
    <row r="1239" spans="1:8" x14ac:dyDescent="0.25">
      <c r="A1239" s="2" t="str">
        <f>"MAT-14WW7"</f>
        <v>MAT-14WW7</v>
      </c>
      <c r="B1239" s="2" t="str">
        <f>"MATITA Pollerleuchte, LED 10W, 3000K, H=500 mm, alugrau"</f>
        <v>MATITA Pollerleuchte, LED 10W, 3000K, H=500 mm, alugrau</v>
      </c>
      <c r="C1239" s="16">
        <v>360.5</v>
      </c>
      <c r="D1239" s="11">
        <v>339</v>
      </c>
      <c r="E1239" s="7">
        <f t="shared" si="59"/>
        <v>1</v>
      </c>
      <c r="F1239" s="22" t="str">
        <f>IF(ISERROR(VLOOKUP($A1239,#REF!,3,0)),"x",VLOOKUP($A1239,#REF!,3,FALSE))</f>
        <v>x</v>
      </c>
      <c r="G1239" s="9">
        <f t="shared" si="60"/>
        <v>1</v>
      </c>
      <c r="H1239" s="13">
        <f t="shared" si="61"/>
        <v>360.5</v>
      </c>
    </row>
    <row r="1240" spans="1:8" x14ac:dyDescent="0.25">
      <c r="A1240" s="2" t="str">
        <f>"MATMA-14NW08"</f>
        <v>MATMA-14NW08</v>
      </c>
      <c r="B1240" s="2" t="str">
        <f>"MATITA Pollerleuchte, LED 10W, 4000K, H=800 mm, Ibiza sand"</f>
        <v>MATITA Pollerleuchte, LED 10W, 4000K, H=800 mm, Ibiza sand</v>
      </c>
      <c r="C1240" s="16">
        <v>395</v>
      </c>
      <c r="D1240" s="11">
        <v>339</v>
      </c>
      <c r="E1240" s="7">
        <f t="shared" si="59"/>
        <v>1</v>
      </c>
      <c r="F1240" s="22" t="str">
        <f>IF(ISERROR(VLOOKUP($A1240,#REF!,3,0)),"x",VLOOKUP($A1240,#REF!,3,FALSE))</f>
        <v>x</v>
      </c>
      <c r="G1240" s="9">
        <f t="shared" si="60"/>
        <v>1</v>
      </c>
      <c r="H1240" s="13">
        <f t="shared" si="61"/>
        <v>395</v>
      </c>
    </row>
    <row r="1241" spans="1:8" x14ac:dyDescent="0.25">
      <c r="A1241" s="2" t="str">
        <f>"MATMA-14NW1"</f>
        <v>MATMA-14NW1</v>
      </c>
      <c r="B1241" s="2" t="str">
        <f>"MATITA Pollerleuchte, LED 10W, 4000K, H=800 mm, weiß"</f>
        <v>MATITA Pollerleuchte, LED 10W, 4000K, H=800 mm, weiß</v>
      </c>
      <c r="C1241" s="16">
        <v>395</v>
      </c>
      <c r="D1241" s="11">
        <v>339</v>
      </c>
      <c r="E1241" s="7">
        <f t="shared" si="59"/>
        <v>1</v>
      </c>
      <c r="F1241" s="22" t="str">
        <f>IF(ISERROR(VLOOKUP($A1241,#REF!,3,0)),"x",VLOOKUP($A1241,#REF!,3,FALSE))</f>
        <v>x</v>
      </c>
      <c r="G1241" s="9">
        <f t="shared" si="60"/>
        <v>1</v>
      </c>
      <c r="H1241" s="13">
        <f t="shared" si="61"/>
        <v>395</v>
      </c>
    </row>
    <row r="1242" spans="1:8" x14ac:dyDescent="0.25">
      <c r="A1242" s="2" t="str">
        <f>"MATMA-14NW6"</f>
        <v>MATMA-14NW6</v>
      </c>
      <c r="B1242" s="2" t="str">
        <f>"MATITA Pollerleuchte, LED 10W, 4000K, H=800 mm, anthrazit"</f>
        <v>MATITA Pollerleuchte, LED 10W, 4000K, H=800 mm, anthrazit</v>
      </c>
      <c r="C1242" s="16">
        <v>395</v>
      </c>
      <c r="D1242" s="11">
        <v>339</v>
      </c>
      <c r="E1242" s="7">
        <f t="shared" si="59"/>
        <v>1</v>
      </c>
      <c r="F1242" s="22" t="str">
        <f>IF(ISERROR(VLOOKUP($A1242,#REF!,3,0)),"x",VLOOKUP($A1242,#REF!,3,FALSE))</f>
        <v>x</v>
      </c>
      <c r="G1242" s="9">
        <f t="shared" si="60"/>
        <v>1</v>
      </c>
      <c r="H1242" s="13">
        <f t="shared" si="61"/>
        <v>395</v>
      </c>
    </row>
    <row r="1243" spans="1:8" x14ac:dyDescent="0.25">
      <c r="A1243" s="2" t="str">
        <f>"MATMA-14NW7"</f>
        <v>MATMA-14NW7</v>
      </c>
      <c r="B1243" s="2" t="str">
        <f>"MATITA Pollerleuchte, LED 10W, 4000K, H=800 mm, alugrau"</f>
        <v>MATITA Pollerleuchte, LED 10W, 4000K, H=800 mm, alugrau</v>
      </c>
      <c r="C1243" s="16">
        <v>395</v>
      </c>
      <c r="D1243" s="11">
        <v>339</v>
      </c>
      <c r="E1243" s="7">
        <f t="shared" si="59"/>
        <v>1</v>
      </c>
      <c r="F1243" s="22" t="str">
        <f>IF(ISERROR(VLOOKUP($A1243,#REF!,3,0)),"x",VLOOKUP($A1243,#REF!,3,FALSE))</f>
        <v>x</v>
      </c>
      <c r="G1243" s="9">
        <f t="shared" si="60"/>
        <v>1</v>
      </c>
      <c r="H1243" s="13">
        <f t="shared" si="61"/>
        <v>395</v>
      </c>
    </row>
    <row r="1244" spans="1:8" x14ac:dyDescent="0.25">
      <c r="A1244" s="2" t="str">
        <f>"MATMA-14WW08"</f>
        <v>MATMA-14WW08</v>
      </c>
      <c r="B1244" s="2" t="str">
        <f>"MATITA Pollerleuchte, LED 10W, 3000K, H=800 mm, Ibiza sand"</f>
        <v>MATITA Pollerleuchte, LED 10W, 3000K, H=800 mm, Ibiza sand</v>
      </c>
      <c r="C1244" s="16">
        <v>395</v>
      </c>
      <c r="D1244" s="11">
        <v>339</v>
      </c>
      <c r="E1244" s="7">
        <f t="shared" si="59"/>
        <v>1</v>
      </c>
      <c r="F1244" s="22" t="str">
        <f>IF(ISERROR(VLOOKUP($A1244,#REF!,3,0)),"x",VLOOKUP($A1244,#REF!,3,FALSE))</f>
        <v>x</v>
      </c>
      <c r="G1244" s="9">
        <f t="shared" si="60"/>
        <v>1</v>
      </c>
      <c r="H1244" s="13">
        <f t="shared" si="61"/>
        <v>395</v>
      </c>
    </row>
    <row r="1245" spans="1:8" x14ac:dyDescent="0.25">
      <c r="A1245" s="2" t="str">
        <f>"MATMA-14WW1"</f>
        <v>MATMA-14WW1</v>
      </c>
      <c r="B1245" s="2" t="str">
        <f>"MATITA Pollerleuchte, LED 10W, 3000K, H=800 mm, weiß"</f>
        <v>MATITA Pollerleuchte, LED 10W, 3000K, H=800 mm, weiß</v>
      </c>
      <c r="C1245" s="16">
        <v>395</v>
      </c>
      <c r="D1245" s="11">
        <v>339</v>
      </c>
      <c r="E1245" s="7">
        <f t="shared" si="59"/>
        <v>1</v>
      </c>
      <c r="F1245" s="22" t="str">
        <f>IF(ISERROR(VLOOKUP($A1245,#REF!,3,0)),"x",VLOOKUP($A1245,#REF!,3,FALSE))</f>
        <v>x</v>
      </c>
      <c r="G1245" s="9">
        <f t="shared" si="60"/>
        <v>1</v>
      </c>
      <c r="H1245" s="13">
        <f t="shared" si="61"/>
        <v>395</v>
      </c>
    </row>
    <row r="1246" spans="1:8" x14ac:dyDescent="0.25">
      <c r="A1246" s="2" t="str">
        <f>"MATMA-14WW6"</f>
        <v>MATMA-14WW6</v>
      </c>
      <c r="B1246" s="2" t="str">
        <f>"MATITA Pollerleuchte, LED 10W, 3000K, H=800 mm, anthrazit"</f>
        <v>MATITA Pollerleuchte, LED 10W, 3000K, H=800 mm, anthrazit</v>
      </c>
      <c r="C1246" s="16">
        <v>395</v>
      </c>
      <c r="D1246" s="11">
        <v>339</v>
      </c>
      <c r="E1246" s="7">
        <f t="shared" si="59"/>
        <v>1</v>
      </c>
      <c r="F1246" s="22" t="str">
        <f>IF(ISERROR(VLOOKUP($A1246,#REF!,3,0)),"x",VLOOKUP($A1246,#REF!,3,FALSE))</f>
        <v>x</v>
      </c>
      <c r="G1246" s="9">
        <f t="shared" si="60"/>
        <v>1</v>
      </c>
      <c r="H1246" s="13">
        <f t="shared" si="61"/>
        <v>395</v>
      </c>
    </row>
    <row r="1247" spans="1:8" x14ac:dyDescent="0.25">
      <c r="A1247" s="2" t="str">
        <f>"MATMA-14WW7"</f>
        <v>MATMA-14WW7</v>
      </c>
      <c r="B1247" s="2" t="str">
        <f>"MATITA Pollerleuchte, LED 10W, 3000K, H=800 mm, alugrau"</f>
        <v>MATITA Pollerleuchte, LED 10W, 3000K, H=800 mm, alugrau</v>
      </c>
      <c r="C1247" s="16">
        <v>395</v>
      </c>
      <c r="D1247" s="11">
        <v>339</v>
      </c>
      <c r="E1247" s="7">
        <f t="shared" si="59"/>
        <v>1</v>
      </c>
      <c r="F1247" s="22" t="str">
        <f>IF(ISERROR(VLOOKUP($A1247,#REF!,3,0)),"x",VLOOKUP($A1247,#REF!,3,FALSE))</f>
        <v>x</v>
      </c>
      <c r="G1247" s="9">
        <f t="shared" si="60"/>
        <v>1</v>
      </c>
      <c r="H1247" s="13">
        <f t="shared" si="61"/>
        <v>395</v>
      </c>
    </row>
    <row r="1248" spans="1:8" x14ac:dyDescent="0.25">
      <c r="A1248" s="2" t="str">
        <f>"MATMI-14NW08"</f>
        <v>MATMI-14NW08</v>
      </c>
      <c r="B1248" s="2" t="str">
        <f>"MATITA Pollerleuchte, LED 10W, 4000K, H=160mm, Ibiza sand"</f>
        <v>MATITA Pollerleuchte, LED 10W, 4000K, H=160mm, Ibiza sand</v>
      </c>
      <c r="C1248" s="16">
        <v>323</v>
      </c>
      <c r="D1248" s="11">
        <v>339</v>
      </c>
      <c r="E1248" s="7">
        <f t="shared" si="59"/>
        <v>1</v>
      </c>
      <c r="F1248" s="22" t="str">
        <f>IF(ISERROR(VLOOKUP($A1248,#REF!,3,0)),"x",VLOOKUP($A1248,#REF!,3,FALSE))</f>
        <v>x</v>
      </c>
      <c r="G1248" s="9">
        <f t="shared" si="60"/>
        <v>1</v>
      </c>
      <c r="H1248" s="13">
        <f t="shared" si="61"/>
        <v>323</v>
      </c>
    </row>
    <row r="1249" spans="1:8" x14ac:dyDescent="0.25">
      <c r="A1249" s="2" t="str">
        <f>"MATMI-14NW1"</f>
        <v>MATMI-14NW1</v>
      </c>
      <c r="B1249" s="2" t="str">
        <f>"MATITA Pollerleuchte, LED 10W, 4000K, H=160mm, weiß"</f>
        <v>MATITA Pollerleuchte, LED 10W, 4000K, H=160mm, weiß</v>
      </c>
      <c r="C1249" s="16">
        <v>323</v>
      </c>
      <c r="D1249" s="11">
        <v>339</v>
      </c>
      <c r="E1249" s="7">
        <f t="shared" si="59"/>
        <v>1</v>
      </c>
      <c r="F1249" s="22" t="str">
        <f>IF(ISERROR(VLOOKUP($A1249,#REF!,3,0)),"x",VLOOKUP($A1249,#REF!,3,FALSE))</f>
        <v>x</v>
      </c>
      <c r="G1249" s="9">
        <f t="shared" si="60"/>
        <v>1</v>
      </c>
      <c r="H1249" s="13">
        <f t="shared" si="61"/>
        <v>323</v>
      </c>
    </row>
    <row r="1250" spans="1:8" x14ac:dyDescent="0.25">
      <c r="A1250" s="2" t="str">
        <f>"MATMI-14NW6"</f>
        <v>MATMI-14NW6</v>
      </c>
      <c r="B1250" s="2" t="str">
        <f>"MATITA Pollerleuchte, LED 10W, 4000K, H=160mm, anthrazit"</f>
        <v>MATITA Pollerleuchte, LED 10W, 4000K, H=160mm, anthrazit</v>
      </c>
      <c r="C1250" s="16">
        <v>323</v>
      </c>
      <c r="D1250" s="11">
        <v>339</v>
      </c>
      <c r="E1250" s="7">
        <f t="shared" si="59"/>
        <v>1</v>
      </c>
      <c r="F1250" s="22" t="str">
        <f>IF(ISERROR(VLOOKUP($A1250,#REF!,3,0)),"x",VLOOKUP($A1250,#REF!,3,FALSE))</f>
        <v>x</v>
      </c>
      <c r="G1250" s="9">
        <f t="shared" si="60"/>
        <v>1</v>
      </c>
      <c r="H1250" s="13">
        <f t="shared" si="61"/>
        <v>323</v>
      </c>
    </row>
    <row r="1251" spans="1:8" x14ac:dyDescent="0.25">
      <c r="A1251" s="2" t="str">
        <f>"MATMI-14NW7"</f>
        <v>MATMI-14NW7</v>
      </c>
      <c r="B1251" s="2" t="str">
        <f>"MATITA Pollerleuchte, LED 10W, 4000K, H=160mm, alugrau"</f>
        <v>MATITA Pollerleuchte, LED 10W, 4000K, H=160mm, alugrau</v>
      </c>
      <c r="C1251" s="16">
        <v>323</v>
      </c>
      <c r="D1251" s="11">
        <v>339</v>
      </c>
      <c r="E1251" s="7">
        <f t="shared" si="59"/>
        <v>1</v>
      </c>
      <c r="F1251" s="22" t="str">
        <f>IF(ISERROR(VLOOKUP($A1251,#REF!,3,0)),"x",VLOOKUP($A1251,#REF!,3,FALSE))</f>
        <v>x</v>
      </c>
      <c r="G1251" s="9">
        <f t="shared" si="60"/>
        <v>1</v>
      </c>
      <c r="H1251" s="13">
        <f t="shared" si="61"/>
        <v>323</v>
      </c>
    </row>
    <row r="1252" spans="1:8" x14ac:dyDescent="0.25">
      <c r="A1252" s="2" t="str">
        <f>"MATMI-14WW08"</f>
        <v>MATMI-14WW08</v>
      </c>
      <c r="B1252" s="2" t="str">
        <f>"MATITA Pollerleuchte, LED 10W, 3000K, H=160mm, Ibiza sand"</f>
        <v>MATITA Pollerleuchte, LED 10W, 3000K, H=160mm, Ibiza sand</v>
      </c>
      <c r="C1252" s="16">
        <v>323</v>
      </c>
      <c r="D1252" s="11">
        <v>339</v>
      </c>
      <c r="E1252" s="7">
        <f t="shared" si="59"/>
        <v>1</v>
      </c>
      <c r="F1252" s="22" t="str">
        <f>IF(ISERROR(VLOOKUP($A1252,#REF!,3,0)),"x",VLOOKUP($A1252,#REF!,3,FALSE))</f>
        <v>x</v>
      </c>
      <c r="G1252" s="9">
        <f t="shared" si="60"/>
        <v>1</v>
      </c>
      <c r="H1252" s="13">
        <f t="shared" si="61"/>
        <v>323</v>
      </c>
    </row>
    <row r="1253" spans="1:8" x14ac:dyDescent="0.25">
      <c r="A1253" s="2" t="str">
        <f>"MATMI-14WW1"</f>
        <v>MATMI-14WW1</v>
      </c>
      <c r="B1253" s="2" t="str">
        <f>"MATITA Pollerleuchte, LED 10W, 3000K, H=160 mm, weiß"</f>
        <v>MATITA Pollerleuchte, LED 10W, 3000K, H=160 mm, weiß</v>
      </c>
      <c r="C1253" s="16">
        <v>323</v>
      </c>
      <c r="D1253" s="11">
        <v>339</v>
      </c>
      <c r="E1253" s="7">
        <f t="shared" si="59"/>
        <v>1</v>
      </c>
      <c r="F1253" s="22" t="str">
        <f>IF(ISERROR(VLOOKUP($A1253,#REF!,3,0)),"x",VLOOKUP($A1253,#REF!,3,FALSE))</f>
        <v>x</v>
      </c>
      <c r="G1253" s="9">
        <f t="shared" si="60"/>
        <v>1</v>
      </c>
      <c r="H1253" s="13">
        <f t="shared" si="61"/>
        <v>323</v>
      </c>
    </row>
    <row r="1254" spans="1:8" x14ac:dyDescent="0.25">
      <c r="A1254" s="2" t="str">
        <f>"MATMI-14WW6"</f>
        <v>MATMI-14WW6</v>
      </c>
      <c r="B1254" s="2" t="str">
        <f>"MATITA Pollerleuchte, LED 10W, 3000K, H=160 mm, anthrazit"</f>
        <v>MATITA Pollerleuchte, LED 10W, 3000K, H=160 mm, anthrazit</v>
      </c>
      <c r="C1254" s="16">
        <v>323</v>
      </c>
      <c r="D1254" s="11">
        <v>339</v>
      </c>
      <c r="E1254" s="7">
        <f t="shared" si="59"/>
        <v>1</v>
      </c>
      <c r="F1254" s="22" t="str">
        <f>IF(ISERROR(VLOOKUP($A1254,#REF!,3,0)),"x",VLOOKUP($A1254,#REF!,3,FALSE))</f>
        <v>x</v>
      </c>
      <c r="G1254" s="9">
        <f t="shared" si="60"/>
        <v>1</v>
      </c>
      <c r="H1254" s="13">
        <f t="shared" si="61"/>
        <v>323</v>
      </c>
    </row>
    <row r="1255" spans="1:8" x14ac:dyDescent="0.25">
      <c r="A1255" s="2" t="str">
        <f>"MATMI-14WW7"</f>
        <v>MATMI-14WW7</v>
      </c>
      <c r="B1255" s="2" t="str">
        <f>"MATITA Pollerleuchte, LED 10W, 3000K, H=160 mm, alugrau"</f>
        <v>MATITA Pollerleuchte, LED 10W, 3000K, H=160 mm, alugrau</v>
      </c>
      <c r="C1255" s="16">
        <v>323</v>
      </c>
      <c r="D1255" s="11">
        <v>339</v>
      </c>
      <c r="E1255" s="7">
        <f t="shared" si="59"/>
        <v>1</v>
      </c>
      <c r="F1255" s="22" t="str">
        <f>IF(ISERROR(VLOOKUP($A1255,#REF!,3,0)),"x",VLOOKUP($A1255,#REF!,3,FALSE))</f>
        <v>x</v>
      </c>
      <c r="G1255" s="9">
        <f t="shared" si="60"/>
        <v>1</v>
      </c>
      <c r="H1255" s="13">
        <f t="shared" si="61"/>
        <v>323</v>
      </c>
    </row>
    <row r="1256" spans="1:8" x14ac:dyDescent="0.25">
      <c r="A1256" s="2" t="str">
        <f>"MATQ-9NW08"</f>
        <v>MATQ-9NW08</v>
      </c>
      <c r="B1256" s="2" t="str">
        <f>"MATITA Square Pollerleuchte, LED 8,5W, 4000K, H=300 mm, Ibiza sand"</f>
        <v>MATITA Square Pollerleuchte, LED 8,5W, 4000K, H=300 mm, Ibiza sand</v>
      </c>
      <c r="C1256" s="16">
        <v>238.5</v>
      </c>
      <c r="D1256" s="11">
        <v>341</v>
      </c>
      <c r="E1256" s="7">
        <f t="shared" si="59"/>
        <v>1</v>
      </c>
      <c r="F1256" s="22" t="str">
        <f>IF(ISERROR(VLOOKUP($A1256,#REF!,3,0)),"x",VLOOKUP($A1256,#REF!,3,FALSE))</f>
        <v>x</v>
      </c>
      <c r="G1256" s="9">
        <f t="shared" si="60"/>
        <v>1</v>
      </c>
      <c r="H1256" s="13">
        <f t="shared" si="61"/>
        <v>238.5</v>
      </c>
    </row>
    <row r="1257" spans="1:8" x14ac:dyDescent="0.25">
      <c r="A1257" s="2" t="str">
        <f>"MATQ-9NW1"</f>
        <v>MATQ-9NW1</v>
      </c>
      <c r="B1257" s="2" t="str">
        <f>"MATITA Square Pollerleuchte, LED 8,5W, 4000K, H=300 mm, weiß"</f>
        <v>MATITA Square Pollerleuchte, LED 8,5W, 4000K, H=300 mm, weiß</v>
      </c>
      <c r="C1257" s="16">
        <v>238.5</v>
      </c>
      <c r="D1257" s="11">
        <v>341</v>
      </c>
      <c r="E1257" s="7">
        <f t="shared" si="59"/>
        <v>1</v>
      </c>
      <c r="F1257" s="22" t="str">
        <f>IF(ISERROR(VLOOKUP($A1257,#REF!,3,0)),"x",VLOOKUP($A1257,#REF!,3,FALSE))</f>
        <v>x</v>
      </c>
      <c r="G1257" s="9">
        <f t="shared" si="60"/>
        <v>1</v>
      </c>
      <c r="H1257" s="13">
        <f t="shared" si="61"/>
        <v>238.5</v>
      </c>
    </row>
    <row r="1258" spans="1:8" x14ac:dyDescent="0.25">
      <c r="A1258" s="2" t="str">
        <f>"MATQ-9NW6"</f>
        <v>MATQ-9NW6</v>
      </c>
      <c r="B1258" s="2" t="str">
        <f>"MATITA Square Pollerleuchte, LED 8,5W, 4000K, H=300 mm, anthrazit"</f>
        <v>MATITA Square Pollerleuchte, LED 8,5W, 4000K, H=300 mm, anthrazit</v>
      </c>
      <c r="C1258" s="16">
        <v>238.5</v>
      </c>
      <c r="D1258" s="11">
        <v>341</v>
      </c>
      <c r="E1258" s="7">
        <f t="shared" si="59"/>
        <v>1</v>
      </c>
      <c r="F1258" s="22" t="str">
        <f>IF(ISERROR(VLOOKUP($A1258,#REF!,3,0)),"x",VLOOKUP($A1258,#REF!,3,FALSE))</f>
        <v>x</v>
      </c>
      <c r="G1258" s="9">
        <f t="shared" si="60"/>
        <v>1</v>
      </c>
      <c r="H1258" s="13">
        <f t="shared" si="61"/>
        <v>238.5</v>
      </c>
    </row>
    <row r="1259" spans="1:8" x14ac:dyDescent="0.25">
      <c r="A1259" s="2" t="str">
        <f>"MATQ-9NW7"</f>
        <v>MATQ-9NW7</v>
      </c>
      <c r="B1259" s="2" t="str">
        <f>"MATITA Square Pollerleuchte, LED 8,5W, 4000K, H=300 mm, alugrau"</f>
        <v>MATITA Square Pollerleuchte, LED 8,5W, 4000K, H=300 mm, alugrau</v>
      </c>
      <c r="C1259" s="16">
        <v>238.5</v>
      </c>
      <c r="D1259" s="11">
        <v>341</v>
      </c>
      <c r="E1259" s="7">
        <f t="shared" si="59"/>
        <v>1</v>
      </c>
      <c r="F1259" s="22" t="str">
        <f>IF(ISERROR(VLOOKUP($A1259,#REF!,3,0)),"x",VLOOKUP($A1259,#REF!,3,FALSE))</f>
        <v>x</v>
      </c>
      <c r="G1259" s="9">
        <f t="shared" si="60"/>
        <v>1</v>
      </c>
      <c r="H1259" s="13">
        <f t="shared" si="61"/>
        <v>238.5</v>
      </c>
    </row>
    <row r="1260" spans="1:8" x14ac:dyDescent="0.25">
      <c r="A1260" s="2" t="str">
        <f>"MATQ-9WW08"</f>
        <v>MATQ-9WW08</v>
      </c>
      <c r="B1260" s="2" t="str">
        <f>"MATITA Square Pollerleuchte, LED 8,5W, 3000K, H=300 mm, Ibiza sand"</f>
        <v>MATITA Square Pollerleuchte, LED 8,5W, 3000K, H=300 mm, Ibiza sand</v>
      </c>
      <c r="C1260" s="16">
        <v>238.5</v>
      </c>
      <c r="D1260" s="11">
        <v>341</v>
      </c>
      <c r="E1260" s="7">
        <f t="shared" si="59"/>
        <v>1</v>
      </c>
      <c r="F1260" s="22" t="str">
        <f>IF(ISERROR(VLOOKUP($A1260,#REF!,3,0)),"x",VLOOKUP($A1260,#REF!,3,FALSE))</f>
        <v>x</v>
      </c>
      <c r="G1260" s="9">
        <f t="shared" si="60"/>
        <v>1</v>
      </c>
      <c r="H1260" s="13">
        <f t="shared" si="61"/>
        <v>238.5</v>
      </c>
    </row>
    <row r="1261" spans="1:8" x14ac:dyDescent="0.25">
      <c r="A1261" s="2" t="str">
        <f>"MATQ-9WW1"</f>
        <v>MATQ-9WW1</v>
      </c>
      <c r="B1261" s="2" t="str">
        <f>"MATITA Square Pollerleuchte, LED 8,5W, 3000K, H=300 mm, weiß"</f>
        <v>MATITA Square Pollerleuchte, LED 8,5W, 3000K, H=300 mm, weiß</v>
      </c>
      <c r="C1261" s="16">
        <v>238.5</v>
      </c>
      <c r="D1261" s="11">
        <v>341</v>
      </c>
      <c r="E1261" s="7">
        <f t="shared" si="59"/>
        <v>1</v>
      </c>
      <c r="F1261" s="22" t="str">
        <f>IF(ISERROR(VLOOKUP($A1261,#REF!,3,0)),"x",VLOOKUP($A1261,#REF!,3,FALSE))</f>
        <v>x</v>
      </c>
      <c r="G1261" s="9">
        <f t="shared" si="60"/>
        <v>1</v>
      </c>
      <c r="H1261" s="13">
        <f t="shared" si="61"/>
        <v>238.5</v>
      </c>
    </row>
    <row r="1262" spans="1:8" x14ac:dyDescent="0.25">
      <c r="A1262" s="2" t="str">
        <f>"MATQ-9WW6"</f>
        <v>MATQ-9WW6</v>
      </c>
      <c r="B1262" s="2" t="str">
        <f>"MATITA Square Pollerleuchte, LED 8,5W, 3000K, H=300 mm, anthrazit"</f>
        <v>MATITA Square Pollerleuchte, LED 8,5W, 3000K, H=300 mm, anthrazit</v>
      </c>
      <c r="C1262" s="16">
        <v>238.5</v>
      </c>
      <c r="D1262" s="11">
        <v>341</v>
      </c>
      <c r="E1262" s="7">
        <f t="shared" si="59"/>
        <v>1</v>
      </c>
      <c r="F1262" s="22" t="str">
        <f>IF(ISERROR(VLOOKUP($A1262,#REF!,3,0)),"x",VLOOKUP($A1262,#REF!,3,FALSE))</f>
        <v>x</v>
      </c>
      <c r="G1262" s="9">
        <f t="shared" si="60"/>
        <v>1</v>
      </c>
      <c r="H1262" s="13">
        <f t="shared" si="61"/>
        <v>238.5</v>
      </c>
    </row>
    <row r="1263" spans="1:8" x14ac:dyDescent="0.25">
      <c r="A1263" s="2" t="str">
        <f>"MATQ-9WW7"</f>
        <v>MATQ-9WW7</v>
      </c>
      <c r="B1263" s="2" t="str">
        <f>"MATITA Square Pollerleuchte, LED 8,5W, 3000K, H=300 mm, alugrau"</f>
        <v>MATITA Square Pollerleuchte, LED 8,5W, 3000K, H=300 mm, alugrau</v>
      </c>
      <c r="C1263" s="16">
        <v>238.5</v>
      </c>
      <c r="D1263" s="11">
        <v>341</v>
      </c>
      <c r="E1263" s="7">
        <f t="shared" si="59"/>
        <v>1</v>
      </c>
      <c r="F1263" s="22" t="str">
        <f>IF(ISERROR(VLOOKUP($A1263,#REF!,3,0)),"x",VLOOKUP($A1263,#REF!,3,FALSE))</f>
        <v>x</v>
      </c>
      <c r="G1263" s="9">
        <f t="shared" si="60"/>
        <v>1</v>
      </c>
      <c r="H1263" s="13">
        <f t="shared" si="61"/>
        <v>238.5</v>
      </c>
    </row>
    <row r="1264" spans="1:8" x14ac:dyDescent="0.25">
      <c r="A1264" s="2" t="str">
        <f>"MAXI-34NW2"</f>
        <v>MAXI-34NW2</v>
      </c>
      <c r="B1264" s="2" t="str">
        <f>"5638NE4K MaxiLED 34W, L=551mm, 4000K, mit Treiber, Alu, schwarz"</f>
        <v>5638NE4K MaxiLED 34W, L=551mm, 4000K, mit Treiber, Alu, schwarz</v>
      </c>
      <c r="C1264" s="16">
        <v>605</v>
      </c>
      <c r="D1264" s="11">
        <v>285</v>
      </c>
      <c r="E1264" s="7">
        <f t="shared" si="59"/>
        <v>1</v>
      </c>
      <c r="F1264" s="22" t="str">
        <f>IF(ISERROR(VLOOKUP($A1264,#REF!,3,0)),"x",VLOOKUP($A1264,#REF!,3,FALSE))</f>
        <v>x</v>
      </c>
      <c r="G1264" s="9">
        <f t="shared" si="60"/>
        <v>1</v>
      </c>
      <c r="H1264" s="13">
        <f t="shared" si="61"/>
        <v>605</v>
      </c>
    </row>
    <row r="1265" spans="1:8" x14ac:dyDescent="0.25">
      <c r="A1265" s="2" t="str">
        <f>"MAXI-34NW7"</f>
        <v>MAXI-34NW7</v>
      </c>
      <c r="B1265" s="2" t="str">
        <f>"5638AG4K MaxiLED 34W, L=551mm, 4000K, mit Treiber, Alu, aluminiumgrau"</f>
        <v>5638AG4K MaxiLED 34W, L=551mm, 4000K, mit Treiber, Alu, aluminiumgrau</v>
      </c>
      <c r="C1265" s="16">
        <v>605</v>
      </c>
      <c r="D1265" s="11">
        <v>285</v>
      </c>
      <c r="E1265" s="7">
        <f t="shared" si="59"/>
        <v>1</v>
      </c>
      <c r="F1265" s="22" t="str">
        <f>IF(ISERROR(VLOOKUP($A1265,#REF!,3,0)),"x",VLOOKUP($A1265,#REF!,3,FALSE))</f>
        <v>x</v>
      </c>
      <c r="G1265" s="9">
        <f t="shared" si="60"/>
        <v>1</v>
      </c>
      <c r="H1265" s="13">
        <f t="shared" si="61"/>
        <v>605</v>
      </c>
    </row>
    <row r="1266" spans="1:8" x14ac:dyDescent="0.25">
      <c r="A1266" s="2" t="str">
        <f>"MAXI-34WW2"</f>
        <v>MAXI-34WW2</v>
      </c>
      <c r="B1266" s="2" t="str">
        <f>"5638NE3K MaxiLED 34W, L=551mm, 3000K, mit Treiber, Alu, schwarz"</f>
        <v>5638NE3K MaxiLED 34W, L=551mm, 3000K, mit Treiber, Alu, schwarz</v>
      </c>
      <c r="C1266" s="16">
        <v>605</v>
      </c>
      <c r="D1266" s="11">
        <v>285</v>
      </c>
      <c r="E1266" s="7">
        <f t="shared" si="59"/>
        <v>1</v>
      </c>
      <c r="F1266" s="22" t="str">
        <f>IF(ISERROR(VLOOKUP($A1266,#REF!,3,0)),"x",VLOOKUP($A1266,#REF!,3,FALSE))</f>
        <v>x</v>
      </c>
      <c r="G1266" s="9">
        <f t="shared" si="60"/>
        <v>1</v>
      </c>
      <c r="H1266" s="13">
        <f t="shared" si="61"/>
        <v>605</v>
      </c>
    </row>
    <row r="1267" spans="1:8" x14ac:dyDescent="0.25">
      <c r="A1267" s="2" t="str">
        <f>"MAXI-34WW7"</f>
        <v>MAXI-34WW7</v>
      </c>
      <c r="B1267" s="2" t="str">
        <f>"5638AG3K MaxiLED 34W, 3000K, L=551mm, mit Treiber, Alu, aluminiumgrau"</f>
        <v>5638AG3K MaxiLED 34W, 3000K, L=551mm, mit Treiber, Alu, aluminiumgrau</v>
      </c>
      <c r="C1267" s="16">
        <v>605</v>
      </c>
      <c r="D1267" s="11">
        <v>285</v>
      </c>
      <c r="E1267" s="7">
        <f t="shared" si="59"/>
        <v>1</v>
      </c>
      <c r="F1267" s="22" t="str">
        <f>IF(ISERROR(VLOOKUP($A1267,#REF!,3,0)),"x",VLOOKUP($A1267,#REF!,3,FALSE))</f>
        <v>x</v>
      </c>
      <c r="G1267" s="9">
        <f t="shared" si="60"/>
        <v>1</v>
      </c>
      <c r="H1267" s="13">
        <f t="shared" si="61"/>
        <v>605</v>
      </c>
    </row>
    <row r="1268" spans="1:8" x14ac:dyDescent="0.25">
      <c r="A1268" s="2" t="str">
        <f>"MAYA-25NW11-1"</f>
        <v>MAYA-25NW11-1</v>
      </c>
      <c r="B1268" s="2" t="str">
        <f>"MAYA Schienenstrahler, 19W, 500mA, LED COB 4000K, CRI&gt;90, mit Linse 24°, weiß,"</f>
        <v>MAYA Schienenstrahler, 19W, 500mA, LED COB 4000K, CRI&gt;90, mit Linse 24°, weiß,</v>
      </c>
      <c r="C1268" s="16">
        <v>137.5</v>
      </c>
      <c r="D1268" s="11">
        <v>33</v>
      </c>
      <c r="E1268" s="7">
        <f t="shared" si="59"/>
        <v>1</v>
      </c>
      <c r="F1268" s="22" t="str">
        <f>IF(ISERROR(VLOOKUP($A1268,#REF!,3,0)),"x",VLOOKUP($A1268,#REF!,3,FALSE))</f>
        <v>x</v>
      </c>
      <c r="G1268" s="9">
        <f t="shared" si="60"/>
        <v>1</v>
      </c>
      <c r="H1268" s="13">
        <f t="shared" si="61"/>
        <v>137.5</v>
      </c>
    </row>
    <row r="1269" spans="1:8" x14ac:dyDescent="0.25">
      <c r="A1269" s="2" t="str">
        <f>"MAYA-25NW11-1F"</f>
        <v>MAYA-25NW11-1F</v>
      </c>
      <c r="B1269" s="2" t="str">
        <f>"MAYA Schienenstrahler, 19W, 500mA, LED COB 4000K, CRI&gt;90, mit Linse 40°, weiß, "</f>
        <v xml:space="preserve">MAYA Schienenstrahler, 19W, 500mA, LED COB 4000K, CRI&gt;90, mit Linse 40°, weiß, </v>
      </c>
      <c r="C1269" s="16">
        <v>137.5</v>
      </c>
      <c r="D1269" s="11">
        <v>33</v>
      </c>
      <c r="E1269" s="7">
        <f t="shared" si="59"/>
        <v>1</v>
      </c>
      <c r="F1269" s="22" t="str">
        <f>IF(ISERROR(VLOOKUP($A1269,#REF!,3,0)),"x",VLOOKUP($A1269,#REF!,3,FALSE))</f>
        <v>x</v>
      </c>
      <c r="G1269" s="9">
        <f t="shared" si="60"/>
        <v>1</v>
      </c>
      <c r="H1269" s="13">
        <f t="shared" si="61"/>
        <v>137.5</v>
      </c>
    </row>
    <row r="1270" spans="1:8" x14ac:dyDescent="0.25">
      <c r="A1270" s="2" t="str">
        <f>"MAYA-25NW11-1S"</f>
        <v>MAYA-25NW11-1S</v>
      </c>
      <c r="B1270" s="2" t="str">
        <f>"MAYA Schienenstrahler, 19W, 500mA, LED COB 4000K, CRI&gt;90, mit Linse 15°, weiß,  "</f>
        <v xml:space="preserve">MAYA Schienenstrahler, 19W, 500mA, LED COB 4000K, CRI&gt;90, mit Linse 15°, weiß,  </v>
      </c>
      <c r="C1270" s="16">
        <v>137.5</v>
      </c>
      <c r="D1270" s="11">
        <v>33</v>
      </c>
      <c r="E1270" s="7">
        <f t="shared" si="59"/>
        <v>1</v>
      </c>
      <c r="F1270" s="22" t="str">
        <f>IF(ISERROR(VLOOKUP($A1270,#REF!,3,0)),"x",VLOOKUP($A1270,#REF!,3,FALSE))</f>
        <v>x</v>
      </c>
      <c r="G1270" s="9">
        <f t="shared" si="60"/>
        <v>1</v>
      </c>
      <c r="H1270" s="13">
        <f t="shared" si="61"/>
        <v>137.5</v>
      </c>
    </row>
    <row r="1271" spans="1:8" x14ac:dyDescent="0.25">
      <c r="A1271" s="2" t="str">
        <f>"MAYA-25NW12-2"</f>
        <v>MAYA-25NW12-2</v>
      </c>
      <c r="B1271" s="2" t="str">
        <f>"MAYA Schienenstrahler, 19W, 500mA, LED COB 4000K, CRI&gt;90, mit Linse 24°, sw,"</f>
        <v>MAYA Schienenstrahler, 19W, 500mA, LED COB 4000K, CRI&gt;90, mit Linse 24°, sw,</v>
      </c>
      <c r="C1271" s="16">
        <v>137.5</v>
      </c>
      <c r="D1271" s="11">
        <v>33</v>
      </c>
      <c r="E1271" s="7">
        <f t="shared" si="59"/>
        <v>1</v>
      </c>
      <c r="F1271" s="22" t="str">
        <f>IF(ISERROR(VLOOKUP($A1271,#REF!,3,0)),"x",VLOOKUP($A1271,#REF!,3,FALSE))</f>
        <v>x</v>
      </c>
      <c r="G1271" s="9">
        <f t="shared" si="60"/>
        <v>1</v>
      </c>
      <c r="H1271" s="13">
        <f t="shared" si="61"/>
        <v>137.5</v>
      </c>
    </row>
    <row r="1272" spans="1:8" x14ac:dyDescent="0.25">
      <c r="A1272" s="2" t="str">
        <f>"MAYA-25NW12-2F"</f>
        <v>MAYA-25NW12-2F</v>
      </c>
      <c r="B1272" s="2" t="str">
        <f>"MAYA Schienenstrahler, 19W, 500mA, LED COB 4000K, CRI&gt;90, mit Linse 40°, sw, "</f>
        <v xml:space="preserve">MAYA Schienenstrahler, 19W, 500mA, LED COB 4000K, CRI&gt;90, mit Linse 40°, sw, </v>
      </c>
      <c r="C1272" s="16">
        <v>137.5</v>
      </c>
      <c r="D1272" s="11">
        <v>33</v>
      </c>
      <c r="E1272" s="7">
        <f t="shared" si="59"/>
        <v>1</v>
      </c>
      <c r="F1272" s="22" t="str">
        <f>IF(ISERROR(VLOOKUP($A1272,#REF!,3,0)),"x",VLOOKUP($A1272,#REF!,3,FALSE))</f>
        <v>x</v>
      </c>
      <c r="G1272" s="9">
        <f t="shared" si="60"/>
        <v>1</v>
      </c>
      <c r="H1272" s="13">
        <f t="shared" si="61"/>
        <v>137.5</v>
      </c>
    </row>
    <row r="1273" spans="1:8" x14ac:dyDescent="0.25">
      <c r="A1273" s="2" t="str">
        <f>"MAYA-25NW12-2S"</f>
        <v>MAYA-25NW12-2S</v>
      </c>
      <c r="B1273" s="2" t="str">
        <f>"MAYA Schienenstrahler, 19W, 500mA, LED COB 4000K, CRI&gt;90, mit Linse 15°, sw"</f>
        <v>MAYA Schienenstrahler, 19W, 500mA, LED COB 4000K, CRI&gt;90, mit Linse 15°, sw</v>
      </c>
      <c r="C1273" s="16">
        <v>137.5</v>
      </c>
      <c r="D1273" s="11">
        <v>33</v>
      </c>
      <c r="E1273" s="7">
        <f t="shared" si="59"/>
        <v>1</v>
      </c>
      <c r="F1273" s="22" t="str">
        <f>IF(ISERROR(VLOOKUP($A1273,#REF!,3,0)),"x",VLOOKUP($A1273,#REF!,3,FALSE))</f>
        <v>x</v>
      </c>
      <c r="G1273" s="9">
        <f t="shared" si="60"/>
        <v>1</v>
      </c>
      <c r="H1273" s="13">
        <f t="shared" si="61"/>
        <v>137.5</v>
      </c>
    </row>
    <row r="1274" spans="1:8" x14ac:dyDescent="0.25">
      <c r="A1274" s="2" t="str">
        <f>"MAYA-25NW12-4"</f>
        <v>MAYA-25NW12-4</v>
      </c>
      <c r="B1274" s="2" t="str">
        <f>"MAYA Schienenstrahler, 19W, 500mA, LED COB 4000K, CRI&gt;90, mit Linse 24°, sw/go"</f>
        <v>MAYA Schienenstrahler, 19W, 500mA, LED COB 4000K, CRI&gt;90, mit Linse 24°, sw/go</v>
      </c>
      <c r="C1274" s="16">
        <v>137.5</v>
      </c>
      <c r="D1274" s="11">
        <v>33</v>
      </c>
      <c r="E1274" s="7">
        <f t="shared" si="59"/>
        <v>1</v>
      </c>
      <c r="F1274" s="22" t="str">
        <f>IF(ISERROR(VLOOKUP($A1274,#REF!,3,0)),"x",VLOOKUP($A1274,#REF!,3,FALSE))</f>
        <v>x</v>
      </c>
      <c r="G1274" s="9">
        <f t="shared" si="60"/>
        <v>1</v>
      </c>
      <c r="H1274" s="13">
        <f t="shared" si="61"/>
        <v>137.5</v>
      </c>
    </row>
    <row r="1275" spans="1:8" x14ac:dyDescent="0.25">
      <c r="A1275" s="2" t="str">
        <f>"MAYA-25NW12-4F"</f>
        <v>MAYA-25NW12-4F</v>
      </c>
      <c r="B1275" s="2" t="str">
        <f>"MAYA Schienenstrahler, 19W, 500mA, LED COB 4000K, CRI&gt;90, mit Linse 40°, sw/go"</f>
        <v>MAYA Schienenstrahler, 19W, 500mA, LED COB 4000K, CRI&gt;90, mit Linse 40°, sw/go</v>
      </c>
      <c r="C1275" s="16">
        <v>137.5</v>
      </c>
      <c r="D1275" s="11">
        <v>33</v>
      </c>
      <c r="E1275" s="7">
        <f t="shared" si="59"/>
        <v>1</v>
      </c>
      <c r="F1275" s="22" t="str">
        <f>IF(ISERROR(VLOOKUP($A1275,#REF!,3,0)),"x",VLOOKUP($A1275,#REF!,3,FALSE))</f>
        <v>x</v>
      </c>
      <c r="G1275" s="9">
        <f t="shared" si="60"/>
        <v>1</v>
      </c>
      <c r="H1275" s="13">
        <f t="shared" si="61"/>
        <v>137.5</v>
      </c>
    </row>
    <row r="1276" spans="1:8" x14ac:dyDescent="0.25">
      <c r="A1276" s="2" t="str">
        <f>"MAYA-25NW12-4S"</f>
        <v>MAYA-25NW12-4S</v>
      </c>
      <c r="B1276" s="2" t="str">
        <f>"MAYA Schienenstrahler, 19W, 500mA, LED COB 4000K, CRI&gt;90, mit Linse 15°, sw/go"</f>
        <v>MAYA Schienenstrahler, 19W, 500mA, LED COB 4000K, CRI&gt;90, mit Linse 15°, sw/go</v>
      </c>
      <c r="C1276" s="16">
        <v>137.5</v>
      </c>
      <c r="D1276" s="11">
        <v>33</v>
      </c>
      <c r="E1276" s="7">
        <f t="shared" si="59"/>
        <v>1</v>
      </c>
      <c r="F1276" s="22" t="str">
        <f>IF(ISERROR(VLOOKUP($A1276,#REF!,3,0)),"x",VLOOKUP($A1276,#REF!,3,FALSE))</f>
        <v>x</v>
      </c>
      <c r="G1276" s="9">
        <f t="shared" si="60"/>
        <v>1</v>
      </c>
      <c r="H1276" s="13">
        <f t="shared" si="61"/>
        <v>137.5</v>
      </c>
    </row>
    <row r="1277" spans="1:8" x14ac:dyDescent="0.25">
      <c r="A1277" s="2" t="str">
        <f>"MAYA-25SW11-1"</f>
        <v>MAYA-25SW11-1</v>
      </c>
      <c r="B1277" s="2" t="str">
        <f>"MAYA Schienenstrahler, 19W, 500mA, LED COB 2700K, CRI&gt;90, mit Linse 24°, weiß, "</f>
        <v xml:space="preserve">MAYA Schienenstrahler, 19W, 500mA, LED COB 2700K, CRI&gt;90, mit Linse 24°, weiß, </v>
      </c>
      <c r="C1277" s="16">
        <v>137.5</v>
      </c>
      <c r="D1277" s="11">
        <v>33</v>
      </c>
      <c r="E1277" s="7">
        <f t="shared" si="59"/>
        <v>1</v>
      </c>
      <c r="F1277" s="22" t="str">
        <f>IF(ISERROR(VLOOKUP($A1277,#REF!,3,0)),"x",VLOOKUP($A1277,#REF!,3,FALSE))</f>
        <v>x</v>
      </c>
      <c r="G1277" s="9">
        <f t="shared" si="60"/>
        <v>1</v>
      </c>
      <c r="H1277" s="13">
        <f t="shared" si="61"/>
        <v>137.5</v>
      </c>
    </row>
    <row r="1278" spans="1:8" x14ac:dyDescent="0.25">
      <c r="A1278" s="2" t="str">
        <f>"MAYA-25SW11-1F"</f>
        <v>MAYA-25SW11-1F</v>
      </c>
      <c r="B1278" s="2" t="str">
        <f>"MAYA Schienenstrahler, 19W, 500mA, LED COB 2700K, CRI&gt;90, mit Linse 40°, weiß, "</f>
        <v xml:space="preserve">MAYA Schienenstrahler, 19W, 500mA, LED COB 2700K, CRI&gt;90, mit Linse 40°, weiß, </v>
      </c>
      <c r="C1278" s="16">
        <v>137.5</v>
      </c>
      <c r="D1278" s="11">
        <v>33</v>
      </c>
      <c r="E1278" s="7">
        <f t="shared" si="59"/>
        <v>1</v>
      </c>
      <c r="F1278" s="22" t="str">
        <f>IF(ISERROR(VLOOKUP($A1278,#REF!,3,0)),"x",VLOOKUP($A1278,#REF!,3,FALSE))</f>
        <v>x</v>
      </c>
      <c r="G1278" s="9">
        <f t="shared" si="60"/>
        <v>1</v>
      </c>
      <c r="H1278" s="13">
        <f t="shared" si="61"/>
        <v>137.5</v>
      </c>
    </row>
    <row r="1279" spans="1:8" x14ac:dyDescent="0.25">
      <c r="A1279" s="2" t="str">
        <f>"MAYA-25SW11-1S"</f>
        <v>MAYA-25SW11-1S</v>
      </c>
      <c r="B1279" s="2" t="str">
        <f>"MAYA Schienenstrahler, 19W, 500mA, LED COB 2700K, CRI&gt;90, mit Linse 15°, weiß,"</f>
        <v>MAYA Schienenstrahler, 19W, 500mA, LED COB 2700K, CRI&gt;90, mit Linse 15°, weiß,</v>
      </c>
      <c r="C1279" s="16">
        <v>137.5</v>
      </c>
      <c r="D1279" s="11">
        <v>33</v>
      </c>
      <c r="E1279" s="7">
        <f t="shared" si="59"/>
        <v>1</v>
      </c>
      <c r="F1279" s="22" t="str">
        <f>IF(ISERROR(VLOOKUP($A1279,#REF!,3,0)),"x",VLOOKUP($A1279,#REF!,3,FALSE))</f>
        <v>x</v>
      </c>
      <c r="G1279" s="9">
        <f t="shared" si="60"/>
        <v>1</v>
      </c>
      <c r="H1279" s="13">
        <f t="shared" si="61"/>
        <v>137.5</v>
      </c>
    </row>
    <row r="1280" spans="1:8" x14ac:dyDescent="0.25">
      <c r="A1280" s="2" t="str">
        <f>"MAYA-25SW12-2"</f>
        <v>MAYA-25SW12-2</v>
      </c>
      <c r="B1280" s="2" t="str">
        <f>"MAYA Schienenstrahler, 19W, 500mA, LED COB 2700K, CRI&gt;90, mit Linse 24°, sw, "</f>
        <v xml:space="preserve">MAYA Schienenstrahler, 19W, 500mA, LED COB 2700K, CRI&gt;90, mit Linse 24°, sw, </v>
      </c>
      <c r="C1280" s="16">
        <v>137.5</v>
      </c>
      <c r="D1280" s="11">
        <v>33</v>
      </c>
      <c r="E1280" s="7">
        <f t="shared" si="59"/>
        <v>1</v>
      </c>
      <c r="F1280" s="22" t="str">
        <f>IF(ISERROR(VLOOKUP($A1280,#REF!,3,0)),"x",VLOOKUP($A1280,#REF!,3,FALSE))</f>
        <v>x</v>
      </c>
      <c r="G1280" s="9">
        <f t="shared" si="60"/>
        <v>1</v>
      </c>
      <c r="H1280" s="13">
        <f t="shared" si="61"/>
        <v>137.5</v>
      </c>
    </row>
    <row r="1281" spans="1:8" x14ac:dyDescent="0.25">
      <c r="A1281" s="2" t="str">
        <f>"MAYA-25SW12-2F"</f>
        <v>MAYA-25SW12-2F</v>
      </c>
      <c r="B1281" s="2" t="str">
        <f>"MAYA Schienenstrahler, 19W, 500mA, LED COB 2700K, CRI&gt;90, mit Linse 40°, sw"</f>
        <v>MAYA Schienenstrahler, 19W, 500mA, LED COB 2700K, CRI&gt;90, mit Linse 40°, sw</v>
      </c>
      <c r="C1281" s="16">
        <v>137.5</v>
      </c>
      <c r="D1281" s="11">
        <v>33</v>
      </c>
      <c r="E1281" s="7">
        <f t="shared" si="59"/>
        <v>1</v>
      </c>
      <c r="F1281" s="22" t="str">
        <f>IF(ISERROR(VLOOKUP($A1281,#REF!,3,0)),"x",VLOOKUP($A1281,#REF!,3,FALSE))</f>
        <v>x</v>
      </c>
      <c r="G1281" s="9">
        <f t="shared" si="60"/>
        <v>1</v>
      </c>
      <c r="H1281" s="13">
        <f t="shared" si="61"/>
        <v>137.5</v>
      </c>
    </row>
    <row r="1282" spans="1:8" x14ac:dyDescent="0.25">
      <c r="A1282" s="2" t="str">
        <f>"MAYA-25SW12-2S"</f>
        <v>MAYA-25SW12-2S</v>
      </c>
      <c r="B1282" s="2" t="str">
        <f>"MAYA Schienenstrahler, 19W, 500mA, LED COB 2700K, CRI&gt;90, mit Linse 15°, sw,"</f>
        <v>MAYA Schienenstrahler, 19W, 500mA, LED COB 2700K, CRI&gt;90, mit Linse 15°, sw,</v>
      </c>
      <c r="C1282" s="16">
        <v>137.5</v>
      </c>
      <c r="D1282" s="11">
        <v>33</v>
      </c>
      <c r="E1282" s="7">
        <f t="shared" si="59"/>
        <v>1</v>
      </c>
      <c r="F1282" s="22" t="str">
        <f>IF(ISERROR(VLOOKUP($A1282,#REF!,3,0)),"x",VLOOKUP($A1282,#REF!,3,FALSE))</f>
        <v>x</v>
      </c>
      <c r="G1282" s="9">
        <f t="shared" si="60"/>
        <v>1</v>
      </c>
      <c r="H1282" s="13">
        <f t="shared" si="61"/>
        <v>137.5</v>
      </c>
    </row>
    <row r="1283" spans="1:8" x14ac:dyDescent="0.25">
      <c r="A1283" s="2" t="str">
        <f>"MAYA-25SW12-4"</f>
        <v>MAYA-25SW12-4</v>
      </c>
      <c r="B1283" s="2" t="str">
        <f>"MAYA Schienenstrahler, 19W, 500mA, LED COB 2700K, CRI&gt;90, mit Linse 24°, sw/go,"</f>
        <v>MAYA Schienenstrahler, 19W, 500mA, LED COB 2700K, CRI&gt;90, mit Linse 24°, sw/go,</v>
      </c>
      <c r="C1283" s="16">
        <v>137.5</v>
      </c>
      <c r="D1283" s="11">
        <v>33</v>
      </c>
      <c r="E1283" s="7">
        <f t="shared" ref="E1283:E1346" si="62">G1283</f>
        <v>1</v>
      </c>
      <c r="F1283" s="22" t="str">
        <f>IF(ISERROR(VLOOKUP($A1283,#REF!,3,0)),"x",VLOOKUP($A1283,#REF!,3,FALSE))</f>
        <v>x</v>
      </c>
      <c r="G1283" s="9">
        <f t="shared" ref="G1283:G1346" si="63">IF(C1283&lt;F1283,1,IF(C1283&gt;F1283,-1,0))</f>
        <v>1</v>
      </c>
      <c r="H1283" s="13">
        <f t="shared" si="61"/>
        <v>137.5</v>
      </c>
    </row>
    <row r="1284" spans="1:8" x14ac:dyDescent="0.25">
      <c r="A1284" s="2" t="str">
        <f>"MAYA-25SW12-4F"</f>
        <v>MAYA-25SW12-4F</v>
      </c>
      <c r="B1284" s="2" t="str">
        <f>"MAYA Schienenstrahler, 19W, 500mA, LED COB 2700K, CRI&gt;90, mit Linse 40°, sw/go, "</f>
        <v xml:space="preserve">MAYA Schienenstrahler, 19W, 500mA, LED COB 2700K, CRI&gt;90, mit Linse 40°, sw/go, </v>
      </c>
      <c r="C1284" s="16">
        <v>137.5</v>
      </c>
      <c r="D1284" s="11">
        <v>33</v>
      </c>
      <c r="E1284" s="7">
        <f t="shared" si="62"/>
        <v>1</v>
      </c>
      <c r="F1284" s="22" t="str">
        <f>IF(ISERROR(VLOOKUP($A1284,#REF!,3,0)),"x",VLOOKUP($A1284,#REF!,3,FALSE))</f>
        <v>x</v>
      </c>
      <c r="G1284" s="9">
        <f t="shared" si="63"/>
        <v>1</v>
      </c>
      <c r="H1284" s="13">
        <f t="shared" si="61"/>
        <v>137.5</v>
      </c>
    </row>
    <row r="1285" spans="1:8" x14ac:dyDescent="0.25">
      <c r="A1285" s="2" t="str">
        <f>"MAYA-25SW12-4S"</f>
        <v>MAYA-25SW12-4S</v>
      </c>
      <c r="B1285" s="2" t="str">
        <f>"MAYA Schienenstrahler, 19W, 500mA, LED COB 2700K, CRI&gt;90, mit Linse 15°, sw/go"</f>
        <v>MAYA Schienenstrahler, 19W, 500mA, LED COB 2700K, CRI&gt;90, mit Linse 15°, sw/go</v>
      </c>
      <c r="C1285" s="16">
        <v>137.5</v>
      </c>
      <c r="D1285" s="11">
        <v>33</v>
      </c>
      <c r="E1285" s="7">
        <f t="shared" si="62"/>
        <v>1</v>
      </c>
      <c r="F1285" s="22" t="str">
        <f>IF(ISERROR(VLOOKUP($A1285,#REF!,3,0)),"x",VLOOKUP($A1285,#REF!,3,FALSE))</f>
        <v>x</v>
      </c>
      <c r="G1285" s="9">
        <f t="shared" si="63"/>
        <v>1</v>
      </c>
      <c r="H1285" s="13">
        <f t="shared" ref="H1285:H1348" si="64">IF(F1285="x",C1285,F1285)</f>
        <v>137.5</v>
      </c>
    </row>
    <row r="1286" spans="1:8" x14ac:dyDescent="0.25">
      <c r="A1286" s="2" t="str">
        <f>"MAYA-25WW11-1"</f>
        <v>MAYA-25WW11-1</v>
      </c>
      <c r="B1286" s="2" t="str">
        <f>"MAYA Schienenstrahler, 19W, 500mA, LED COB 3000K, CRI&gt;90, mit Linse 24°, weiß, "</f>
        <v xml:space="preserve">MAYA Schienenstrahler, 19W, 500mA, LED COB 3000K, CRI&gt;90, mit Linse 24°, weiß, </v>
      </c>
      <c r="C1286" s="16">
        <v>137.5</v>
      </c>
      <c r="D1286" s="11">
        <v>33</v>
      </c>
      <c r="E1286" s="7">
        <f t="shared" si="62"/>
        <v>1</v>
      </c>
      <c r="F1286" s="22" t="str">
        <f>IF(ISERROR(VLOOKUP($A1286,#REF!,3,0)),"x",VLOOKUP($A1286,#REF!,3,FALSE))</f>
        <v>x</v>
      </c>
      <c r="G1286" s="9">
        <f t="shared" si="63"/>
        <v>1</v>
      </c>
      <c r="H1286" s="13">
        <f t="shared" si="64"/>
        <v>137.5</v>
      </c>
    </row>
    <row r="1287" spans="1:8" x14ac:dyDescent="0.25">
      <c r="A1287" s="2" t="str">
        <f>"MAYA-25WW11-1F"</f>
        <v>MAYA-25WW11-1F</v>
      </c>
      <c r="B1287" s="2" t="str">
        <f>"MAYA Schienenstrahler, 19W, 500mA, LED COB 3000K, CRI&gt;90, mit Linse 40°, weiß, "</f>
        <v xml:space="preserve">MAYA Schienenstrahler, 19W, 500mA, LED COB 3000K, CRI&gt;90, mit Linse 40°, weiß, </v>
      </c>
      <c r="C1287" s="16">
        <v>137.5</v>
      </c>
      <c r="D1287" s="11">
        <v>33</v>
      </c>
      <c r="E1287" s="7">
        <f t="shared" si="62"/>
        <v>1</v>
      </c>
      <c r="F1287" s="22" t="str">
        <f>IF(ISERROR(VLOOKUP($A1287,#REF!,3,0)),"x",VLOOKUP($A1287,#REF!,3,FALSE))</f>
        <v>x</v>
      </c>
      <c r="G1287" s="9">
        <f t="shared" si="63"/>
        <v>1</v>
      </c>
      <c r="H1287" s="13">
        <f t="shared" si="64"/>
        <v>137.5</v>
      </c>
    </row>
    <row r="1288" spans="1:8" x14ac:dyDescent="0.25">
      <c r="A1288" s="2" t="str">
        <f>"MAYA-25WW11-1S"</f>
        <v>MAYA-25WW11-1S</v>
      </c>
      <c r="B1288" s="2" t="str">
        <f>"MAYA Schienenstrahler, 19W, 500mA, LED COB 3000K, CRI&gt;90, mit Linse 15°, weiß, "</f>
        <v xml:space="preserve">MAYA Schienenstrahler, 19W, 500mA, LED COB 3000K, CRI&gt;90, mit Linse 15°, weiß, </v>
      </c>
      <c r="C1288" s="16">
        <v>137.5</v>
      </c>
      <c r="D1288" s="11">
        <v>33</v>
      </c>
      <c r="E1288" s="7">
        <f t="shared" si="62"/>
        <v>1</v>
      </c>
      <c r="F1288" s="22" t="str">
        <f>IF(ISERROR(VLOOKUP($A1288,#REF!,3,0)),"x",VLOOKUP($A1288,#REF!,3,FALSE))</f>
        <v>x</v>
      </c>
      <c r="G1288" s="9">
        <f t="shared" si="63"/>
        <v>1</v>
      </c>
      <c r="H1288" s="13">
        <f t="shared" si="64"/>
        <v>137.5</v>
      </c>
    </row>
    <row r="1289" spans="1:8" x14ac:dyDescent="0.25">
      <c r="A1289" s="2" t="str">
        <f>"MAYA-25WW12-2"</f>
        <v>MAYA-25WW12-2</v>
      </c>
      <c r="B1289" s="2" t="str">
        <f>"MAYA Schienenstrahler, 19W, 500mA, LED COB 3000K, CRI&gt;90, mit Linse 24°, sw, "</f>
        <v xml:space="preserve">MAYA Schienenstrahler, 19W, 500mA, LED COB 3000K, CRI&gt;90, mit Linse 24°, sw, </v>
      </c>
      <c r="C1289" s="16">
        <v>137.5</v>
      </c>
      <c r="D1289" s="11">
        <v>33</v>
      </c>
      <c r="E1289" s="7">
        <f t="shared" si="62"/>
        <v>1</v>
      </c>
      <c r="F1289" s="22" t="str">
        <f>IF(ISERROR(VLOOKUP($A1289,#REF!,3,0)),"x",VLOOKUP($A1289,#REF!,3,FALSE))</f>
        <v>x</v>
      </c>
      <c r="G1289" s="9">
        <f t="shared" si="63"/>
        <v>1</v>
      </c>
      <c r="H1289" s="13">
        <f t="shared" si="64"/>
        <v>137.5</v>
      </c>
    </row>
    <row r="1290" spans="1:8" x14ac:dyDescent="0.25">
      <c r="A1290" s="2" t="str">
        <f>"MAYA-25WW12-2F"</f>
        <v>MAYA-25WW12-2F</v>
      </c>
      <c r="B1290" s="2" t="str">
        <f>"MAYA Schienenstrahler, 19W, 500mA, LED COB 3000K, CRI&gt;90, mit Linse 40°, sw, "</f>
        <v xml:space="preserve">MAYA Schienenstrahler, 19W, 500mA, LED COB 3000K, CRI&gt;90, mit Linse 40°, sw, </v>
      </c>
      <c r="C1290" s="16">
        <v>137.5</v>
      </c>
      <c r="D1290" s="11">
        <v>33</v>
      </c>
      <c r="E1290" s="7">
        <f t="shared" si="62"/>
        <v>1</v>
      </c>
      <c r="F1290" s="22" t="str">
        <f>IF(ISERROR(VLOOKUP($A1290,#REF!,3,0)),"x",VLOOKUP($A1290,#REF!,3,FALSE))</f>
        <v>x</v>
      </c>
      <c r="G1290" s="9">
        <f t="shared" si="63"/>
        <v>1</v>
      </c>
      <c r="H1290" s="13">
        <f t="shared" si="64"/>
        <v>137.5</v>
      </c>
    </row>
    <row r="1291" spans="1:8" x14ac:dyDescent="0.25">
      <c r="A1291" s="2" t="str">
        <f>"MAYA-25WW12-2S"</f>
        <v>MAYA-25WW12-2S</v>
      </c>
      <c r="B1291" s="2" t="str">
        <f>"MAYA Schienenstrahler, 19W, 500mA, LED COB 3000K, CRI&gt;90, mit Linse 15°, sw, "</f>
        <v xml:space="preserve">MAYA Schienenstrahler, 19W, 500mA, LED COB 3000K, CRI&gt;90, mit Linse 15°, sw, </v>
      </c>
      <c r="C1291" s="16">
        <v>137.5</v>
      </c>
      <c r="D1291" s="11">
        <v>33</v>
      </c>
      <c r="E1291" s="7">
        <f t="shared" si="62"/>
        <v>1</v>
      </c>
      <c r="F1291" s="22" t="str">
        <f>IF(ISERROR(VLOOKUP($A1291,#REF!,3,0)),"x",VLOOKUP($A1291,#REF!,3,FALSE))</f>
        <v>x</v>
      </c>
      <c r="G1291" s="9">
        <f t="shared" si="63"/>
        <v>1</v>
      </c>
      <c r="H1291" s="13">
        <f t="shared" si="64"/>
        <v>137.5</v>
      </c>
    </row>
    <row r="1292" spans="1:8" x14ac:dyDescent="0.25">
      <c r="A1292" s="2" t="str">
        <f>"MAYA-25WW12-4"</f>
        <v>MAYA-25WW12-4</v>
      </c>
      <c r="B1292" s="2" t="str">
        <f>"MAYA Schienenstrahler, 19W, 500mA, LED COB 3000K, CRI&gt;90, mit Linse 24°, sw/go, "</f>
        <v xml:space="preserve">MAYA Schienenstrahler, 19W, 500mA, LED COB 3000K, CRI&gt;90, mit Linse 24°, sw/go, </v>
      </c>
      <c r="C1292" s="16">
        <v>137.5</v>
      </c>
      <c r="D1292" s="11">
        <v>33</v>
      </c>
      <c r="E1292" s="7">
        <f t="shared" si="62"/>
        <v>1</v>
      </c>
      <c r="F1292" s="22" t="str">
        <f>IF(ISERROR(VLOOKUP($A1292,#REF!,3,0)),"x",VLOOKUP($A1292,#REF!,3,FALSE))</f>
        <v>x</v>
      </c>
      <c r="G1292" s="9">
        <f t="shared" si="63"/>
        <v>1</v>
      </c>
      <c r="H1292" s="13">
        <f t="shared" si="64"/>
        <v>137.5</v>
      </c>
    </row>
    <row r="1293" spans="1:8" x14ac:dyDescent="0.25">
      <c r="A1293" s="2" t="str">
        <f>"MAYA-25WW12-4F"</f>
        <v>MAYA-25WW12-4F</v>
      </c>
      <c r="B1293" s="2" t="str">
        <f>"MAYA Schienenstrahler, 19W, 500mA, LED COB 3000K, CRI&gt;90, mit Linse 40°, sw/go,"</f>
        <v>MAYA Schienenstrahler, 19W, 500mA, LED COB 3000K, CRI&gt;90, mit Linse 40°, sw/go,</v>
      </c>
      <c r="C1293" s="16">
        <v>137.5</v>
      </c>
      <c r="D1293" s="11">
        <v>33</v>
      </c>
      <c r="E1293" s="7">
        <f t="shared" si="62"/>
        <v>1</v>
      </c>
      <c r="F1293" s="22" t="str">
        <f>IF(ISERROR(VLOOKUP($A1293,#REF!,3,0)),"x",VLOOKUP($A1293,#REF!,3,FALSE))</f>
        <v>x</v>
      </c>
      <c r="G1293" s="9">
        <f t="shared" si="63"/>
        <v>1</v>
      </c>
      <c r="H1293" s="13">
        <f t="shared" si="64"/>
        <v>137.5</v>
      </c>
    </row>
    <row r="1294" spans="1:8" x14ac:dyDescent="0.25">
      <c r="A1294" s="2" t="str">
        <f>"MAYA-25WW12-4S"</f>
        <v>MAYA-25WW12-4S</v>
      </c>
      <c r="B1294" s="2" t="str">
        <f>"MAYA Schienenstrahler, 19W, 500mA, LED COB 3000K, CRI&gt;90, mit Linse 15°, sw/go "</f>
        <v xml:space="preserve">MAYA Schienenstrahler, 19W, 500mA, LED COB 3000K, CRI&gt;90, mit Linse 15°, sw/go </v>
      </c>
      <c r="C1294" s="16">
        <v>137.5</v>
      </c>
      <c r="D1294" s="11">
        <v>33</v>
      </c>
      <c r="E1294" s="7">
        <f t="shared" si="62"/>
        <v>1</v>
      </c>
      <c r="F1294" s="22" t="str">
        <f>IF(ISERROR(VLOOKUP($A1294,#REF!,3,0)),"x",VLOOKUP($A1294,#REF!,3,FALSE))</f>
        <v>x</v>
      </c>
      <c r="G1294" s="9">
        <f t="shared" si="63"/>
        <v>1</v>
      </c>
      <c r="H1294" s="13">
        <f t="shared" si="64"/>
        <v>137.5</v>
      </c>
    </row>
    <row r="1295" spans="1:8" x14ac:dyDescent="0.25">
      <c r="A1295" s="2" t="str">
        <f>"MAYAW-6SW1-1D"</f>
        <v>MAYAW-6SW1-1D</v>
      </c>
      <c r="B1295" s="2" t="str">
        <f>"MAYA Wandleuchte, 1 Lichtaustritt, Glaslinse 40°, weiß, 2700K, 180mA"</f>
        <v>MAYA Wandleuchte, 1 Lichtaustritt, Glaslinse 40°, weiß, 2700K, 180mA</v>
      </c>
      <c r="C1295" s="16">
        <v>148</v>
      </c>
      <c r="D1295" s="11">
        <v>185</v>
      </c>
      <c r="E1295" s="7">
        <f t="shared" si="62"/>
        <v>1</v>
      </c>
      <c r="F1295" s="22" t="str">
        <f>IF(ISERROR(VLOOKUP($A1295,#REF!,3,0)),"x",VLOOKUP($A1295,#REF!,3,FALSE))</f>
        <v>x</v>
      </c>
      <c r="G1295" s="9">
        <f t="shared" si="63"/>
        <v>1</v>
      </c>
      <c r="H1295" s="13">
        <f t="shared" si="64"/>
        <v>148</v>
      </c>
    </row>
    <row r="1296" spans="1:8" x14ac:dyDescent="0.25">
      <c r="A1296" s="2" t="str">
        <f>"MAYAW-6SW1-2D"</f>
        <v>MAYAW-6SW1-2D</v>
      </c>
      <c r="B1296" s="2" t="str">
        <f>"MAYA Wandleuchte, 2 Lichtaustritte, Glaslinse 40°, weiß, 2700K, 180mA"</f>
        <v>MAYA Wandleuchte, 2 Lichtaustritte, Glaslinse 40°, weiß, 2700K, 180mA</v>
      </c>
      <c r="C1296" s="16">
        <v>158.5</v>
      </c>
      <c r="D1296" s="11">
        <v>185</v>
      </c>
      <c r="E1296" s="7">
        <f t="shared" si="62"/>
        <v>1</v>
      </c>
      <c r="F1296" s="22" t="str">
        <f>IF(ISERROR(VLOOKUP($A1296,#REF!,3,0)),"x",VLOOKUP($A1296,#REF!,3,FALSE))</f>
        <v>x</v>
      </c>
      <c r="G1296" s="9">
        <f t="shared" si="63"/>
        <v>1</v>
      </c>
      <c r="H1296" s="13">
        <f t="shared" si="64"/>
        <v>158.5</v>
      </c>
    </row>
    <row r="1297" spans="1:8" x14ac:dyDescent="0.25">
      <c r="A1297" s="2" t="str">
        <f>"MAYAW-6SW2-1D"</f>
        <v>MAYAW-6SW2-1D</v>
      </c>
      <c r="B1297" s="2" t="str">
        <f>"MAYA Wandleuchte, 1 Lichtaustritt, Glaslinse 40°, schwarz, 2700K, 180mA"</f>
        <v>MAYA Wandleuchte, 1 Lichtaustritt, Glaslinse 40°, schwarz, 2700K, 180mA</v>
      </c>
      <c r="C1297" s="16">
        <v>148</v>
      </c>
      <c r="D1297" s="11">
        <v>185</v>
      </c>
      <c r="E1297" s="7">
        <f t="shared" si="62"/>
        <v>1</v>
      </c>
      <c r="F1297" s="22" t="str">
        <f>IF(ISERROR(VLOOKUP($A1297,#REF!,3,0)),"x",VLOOKUP($A1297,#REF!,3,FALSE))</f>
        <v>x</v>
      </c>
      <c r="G1297" s="9">
        <f t="shared" si="63"/>
        <v>1</v>
      </c>
      <c r="H1297" s="13">
        <f t="shared" si="64"/>
        <v>148</v>
      </c>
    </row>
    <row r="1298" spans="1:8" x14ac:dyDescent="0.25">
      <c r="A1298" s="2" t="str">
        <f>"MAYAW-6SW2-2D"</f>
        <v>MAYAW-6SW2-2D</v>
      </c>
      <c r="B1298" s="2" t="str">
        <f>"MAYA Wandleuchte, 2 Lichtaustritte, Glaslinse 40°, schwarz, 2700K, 180mA"</f>
        <v>MAYA Wandleuchte, 2 Lichtaustritte, Glaslinse 40°, schwarz, 2700K, 180mA</v>
      </c>
      <c r="C1298" s="16">
        <v>158.5</v>
      </c>
      <c r="D1298" s="11">
        <v>185</v>
      </c>
      <c r="E1298" s="7">
        <f t="shared" si="62"/>
        <v>1</v>
      </c>
      <c r="F1298" s="22" t="str">
        <f>IF(ISERROR(VLOOKUP($A1298,#REF!,3,0)),"x",VLOOKUP($A1298,#REF!,3,FALSE))</f>
        <v>x</v>
      </c>
      <c r="G1298" s="9">
        <f t="shared" si="63"/>
        <v>1</v>
      </c>
      <c r="H1298" s="13">
        <f t="shared" si="64"/>
        <v>158.5</v>
      </c>
    </row>
    <row r="1299" spans="1:8" x14ac:dyDescent="0.25">
      <c r="A1299" s="2" t="str">
        <f>"MAYAW-6SW24-1D"</f>
        <v>MAYAW-6SW24-1D</v>
      </c>
      <c r="B1299" s="2" t="str">
        <f>"MAYA Wandleuchte, 1 Lichtaustritt, Glaslinse 40°, sw/gold, 2700K, 180mA"</f>
        <v>MAYA Wandleuchte, 1 Lichtaustritt, Glaslinse 40°, sw/gold, 2700K, 180mA</v>
      </c>
      <c r="C1299" s="16">
        <v>153.25</v>
      </c>
      <c r="D1299" s="11">
        <v>185</v>
      </c>
      <c r="E1299" s="7">
        <f t="shared" si="62"/>
        <v>1</v>
      </c>
      <c r="F1299" s="22" t="str">
        <f>IF(ISERROR(VLOOKUP($A1299,#REF!,3,0)),"x",VLOOKUP($A1299,#REF!,3,FALSE))</f>
        <v>x</v>
      </c>
      <c r="G1299" s="9">
        <f t="shared" si="63"/>
        <v>1</v>
      </c>
      <c r="H1299" s="13">
        <f t="shared" si="64"/>
        <v>153.25</v>
      </c>
    </row>
    <row r="1300" spans="1:8" x14ac:dyDescent="0.25">
      <c r="A1300" s="2" t="str">
        <f>"MAYAW-6SW24-2D"</f>
        <v>MAYAW-6SW24-2D</v>
      </c>
      <c r="B1300" s="2" t="str">
        <f>"MAYA Wandleuchte, 2 Lichtaustritte, Glaslinse 40°, sw/gold, 2700K, 180mA"</f>
        <v>MAYA Wandleuchte, 2 Lichtaustritte, Glaslinse 40°, sw/gold, 2700K, 180mA</v>
      </c>
      <c r="C1300" s="16">
        <v>169.5</v>
      </c>
      <c r="D1300" s="11">
        <v>185</v>
      </c>
      <c r="E1300" s="7">
        <f t="shared" si="62"/>
        <v>1</v>
      </c>
      <c r="F1300" s="22" t="str">
        <f>IF(ISERROR(VLOOKUP($A1300,#REF!,3,0)),"x",VLOOKUP($A1300,#REF!,3,FALSE))</f>
        <v>x</v>
      </c>
      <c r="G1300" s="9">
        <f t="shared" si="63"/>
        <v>1</v>
      </c>
      <c r="H1300" s="13">
        <f t="shared" si="64"/>
        <v>169.5</v>
      </c>
    </row>
    <row r="1301" spans="1:8" x14ac:dyDescent="0.25">
      <c r="A1301" s="2" t="str">
        <f>"MAYAW-6SW3-1D"</f>
        <v>MAYAW-6SW3-1D</v>
      </c>
      <c r="B1301" s="2" t="str">
        <f>"MAYA Wandleuchte, 1 Lichtaustritt, Glaslinse 40°, chrom, 2700K, 180mA"</f>
        <v>MAYA Wandleuchte, 1 Lichtaustritt, Glaslinse 40°, chrom, 2700K, 180mA</v>
      </c>
      <c r="C1301" s="16">
        <v>169.5</v>
      </c>
      <c r="D1301" s="11">
        <v>185</v>
      </c>
      <c r="E1301" s="7">
        <f t="shared" si="62"/>
        <v>1</v>
      </c>
      <c r="F1301" s="22" t="str">
        <f>IF(ISERROR(VLOOKUP($A1301,#REF!,3,0)),"x",VLOOKUP($A1301,#REF!,3,FALSE))</f>
        <v>x</v>
      </c>
      <c r="G1301" s="9">
        <f t="shared" si="63"/>
        <v>1</v>
      </c>
      <c r="H1301" s="13">
        <f t="shared" si="64"/>
        <v>169.5</v>
      </c>
    </row>
    <row r="1302" spans="1:8" x14ac:dyDescent="0.25">
      <c r="A1302" s="2" t="str">
        <f>"MAYAW-6SW3-2D"</f>
        <v>MAYAW-6SW3-2D</v>
      </c>
      <c r="B1302" s="2" t="str">
        <f>"MAYA Wandleuchte, 2 Lichtaustritte, Glaslinse 40°, chrom, 2700K, 180mA"</f>
        <v>MAYA Wandleuchte, 2 Lichtaustritte, Glaslinse 40°, chrom, 2700K, 180mA</v>
      </c>
      <c r="C1302" s="16">
        <v>177.25</v>
      </c>
      <c r="D1302" s="11">
        <v>185</v>
      </c>
      <c r="E1302" s="7">
        <f t="shared" si="62"/>
        <v>1</v>
      </c>
      <c r="F1302" s="22" t="str">
        <f>IF(ISERROR(VLOOKUP($A1302,#REF!,3,0)),"x",VLOOKUP($A1302,#REF!,3,FALSE))</f>
        <v>x</v>
      </c>
      <c r="G1302" s="9">
        <f t="shared" si="63"/>
        <v>1</v>
      </c>
      <c r="H1302" s="13">
        <f t="shared" si="64"/>
        <v>177.25</v>
      </c>
    </row>
    <row r="1303" spans="1:8" x14ac:dyDescent="0.25">
      <c r="A1303" s="2" t="str">
        <f>"MET-14NW08"</f>
        <v>MET-14NW08</v>
      </c>
      <c r="B1303" s="2" t="str">
        <f>"METOO Wand- und Deckenanbauleuchte, LED 10W, 4000K, Ibiza sand"</f>
        <v>METOO Wand- und Deckenanbauleuchte, LED 10W, 4000K, Ibiza sand</v>
      </c>
      <c r="C1303" s="16">
        <v>174.5</v>
      </c>
      <c r="D1303" s="11">
        <v>263</v>
      </c>
      <c r="E1303" s="7">
        <f t="shared" si="62"/>
        <v>1</v>
      </c>
      <c r="F1303" s="22" t="str">
        <f>IF(ISERROR(VLOOKUP($A1303,#REF!,3,0)),"x",VLOOKUP($A1303,#REF!,3,FALSE))</f>
        <v>x</v>
      </c>
      <c r="G1303" s="9">
        <f t="shared" si="63"/>
        <v>1</v>
      </c>
      <c r="H1303" s="13">
        <f t="shared" si="64"/>
        <v>174.5</v>
      </c>
    </row>
    <row r="1304" spans="1:8" x14ac:dyDescent="0.25">
      <c r="A1304" s="2" t="str">
        <f>"MET-14NW1"</f>
        <v>MET-14NW1</v>
      </c>
      <c r="B1304" s="2" t="str">
        <f>"METOO Wand- und Deckenanbauleuchte, LED 10W, 4000K, weiß"</f>
        <v>METOO Wand- und Deckenanbauleuchte, LED 10W, 4000K, weiß</v>
      </c>
      <c r="C1304" s="16">
        <v>174.5</v>
      </c>
      <c r="D1304" s="11">
        <v>263</v>
      </c>
      <c r="E1304" s="7">
        <f t="shared" si="62"/>
        <v>1</v>
      </c>
      <c r="F1304" s="22" t="str">
        <f>IF(ISERROR(VLOOKUP($A1304,#REF!,3,0)),"x",VLOOKUP($A1304,#REF!,3,FALSE))</f>
        <v>x</v>
      </c>
      <c r="G1304" s="9">
        <f t="shared" si="63"/>
        <v>1</v>
      </c>
      <c r="H1304" s="13">
        <f t="shared" si="64"/>
        <v>174.5</v>
      </c>
    </row>
    <row r="1305" spans="1:8" x14ac:dyDescent="0.25">
      <c r="A1305" s="2" t="str">
        <f>"MET-14NW6"</f>
        <v>MET-14NW6</v>
      </c>
      <c r="B1305" s="2" t="str">
        <f>"METOO Wand- und Deckenanbauleuchte, LED 10W, 4000K, anthrazit"</f>
        <v>METOO Wand- und Deckenanbauleuchte, LED 10W, 4000K, anthrazit</v>
      </c>
      <c r="C1305" s="16">
        <v>174.5</v>
      </c>
      <c r="D1305" s="11">
        <v>263</v>
      </c>
      <c r="E1305" s="7">
        <f t="shared" si="62"/>
        <v>1</v>
      </c>
      <c r="F1305" s="22" t="str">
        <f>IF(ISERROR(VLOOKUP($A1305,#REF!,3,0)),"x",VLOOKUP($A1305,#REF!,3,FALSE))</f>
        <v>x</v>
      </c>
      <c r="G1305" s="9">
        <f t="shared" si="63"/>
        <v>1</v>
      </c>
      <c r="H1305" s="13">
        <f t="shared" si="64"/>
        <v>174.5</v>
      </c>
    </row>
    <row r="1306" spans="1:8" x14ac:dyDescent="0.25">
      <c r="A1306" s="2" t="str">
        <f>"MET-14NW7"</f>
        <v>MET-14NW7</v>
      </c>
      <c r="B1306" s="2" t="str">
        <f>"METOO Wand- und Deckenanbauleuchte, LED 10W, 4000K, alugrau"</f>
        <v>METOO Wand- und Deckenanbauleuchte, LED 10W, 4000K, alugrau</v>
      </c>
      <c r="C1306" s="16">
        <v>174.5</v>
      </c>
      <c r="D1306" s="11">
        <v>263</v>
      </c>
      <c r="E1306" s="7">
        <f t="shared" si="62"/>
        <v>1</v>
      </c>
      <c r="F1306" s="22" t="str">
        <f>IF(ISERROR(VLOOKUP($A1306,#REF!,3,0)),"x",VLOOKUP($A1306,#REF!,3,FALSE))</f>
        <v>x</v>
      </c>
      <c r="G1306" s="9">
        <f t="shared" si="63"/>
        <v>1</v>
      </c>
      <c r="H1306" s="13">
        <f t="shared" si="64"/>
        <v>174.5</v>
      </c>
    </row>
    <row r="1307" spans="1:8" x14ac:dyDescent="0.25">
      <c r="A1307" s="2" t="str">
        <f>"MET-14WW08"</f>
        <v>MET-14WW08</v>
      </c>
      <c r="B1307" s="2" t="str">
        <f>"METOO Wand- und Deckenanbauleuchte, LED 10W, 3000K, Ibiza sand"</f>
        <v>METOO Wand- und Deckenanbauleuchte, LED 10W, 3000K, Ibiza sand</v>
      </c>
      <c r="C1307" s="16">
        <v>174.5</v>
      </c>
      <c r="D1307" s="11">
        <v>263</v>
      </c>
      <c r="E1307" s="7">
        <f t="shared" si="62"/>
        <v>1</v>
      </c>
      <c r="F1307" s="22" t="str">
        <f>IF(ISERROR(VLOOKUP($A1307,#REF!,3,0)),"x",VLOOKUP($A1307,#REF!,3,FALSE))</f>
        <v>x</v>
      </c>
      <c r="G1307" s="9">
        <f t="shared" si="63"/>
        <v>1</v>
      </c>
      <c r="H1307" s="13">
        <f t="shared" si="64"/>
        <v>174.5</v>
      </c>
    </row>
    <row r="1308" spans="1:8" x14ac:dyDescent="0.25">
      <c r="A1308" s="2" t="str">
        <f>"MET-14WW1"</f>
        <v>MET-14WW1</v>
      </c>
      <c r="B1308" s="2" t="str">
        <f>"METOO Wand- und Deckenanbauleuchte, LED 10W, 3000K, weiß"</f>
        <v>METOO Wand- und Deckenanbauleuchte, LED 10W, 3000K, weiß</v>
      </c>
      <c r="C1308" s="16">
        <v>174.5</v>
      </c>
      <c r="D1308" s="11">
        <v>263</v>
      </c>
      <c r="E1308" s="7">
        <f t="shared" si="62"/>
        <v>1</v>
      </c>
      <c r="F1308" s="22" t="str">
        <f>IF(ISERROR(VLOOKUP($A1308,#REF!,3,0)),"x",VLOOKUP($A1308,#REF!,3,FALSE))</f>
        <v>x</v>
      </c>
      <c r="G1308" s="9">
        <f t="shared" si="63"/>
        <v>1</v>
      </c>
      <c r="H1308" s="13">
        <f t="shared" si="64"/>
        <v>174.5</v>
      </c>
    </row>
    <row r="1309" spans="1:8" x14ac:dyDescent="0.25">
      <c r="A1309" s="2" t="str">
        <f>"MET-14WW6"</f>
        <v>MET-14WW6</v>
      </c>
      <c r="B1309" s="2" t="str">
        <f>"METOO Wand- und Deckenanbauleuchte, LED 10W, 3000K, anthrazit"</f>
        <v>METOO Wand- und Deckenanbauleuchte, LED 10W, 3000K, anthrazit</v>
      </c>
      <c r="C1309" s="16">
        <v>174.5</v>
      </c>
      <c r="D1309" s="11">
        <v>263</v>
      </c>
      <c r="E1309" s="7">
        <f t="shared" si="62"/>
        <v>1</v>
      </c>
      <c r="F1309" s="22" t="str">
        <f>IF(ISERROR(VLOOKUP($A1309,#REF!,3,0)),"x",VLOOKUP($A1309,#REF!,3,FALSE))</f>
        <v>x</v>
      </c>
      <c r="G1309" s="9">
        <f t="shared" si="63"/>
        <v>1</v>
      </c>
      <c r="H1309" s="13">
        <f t="shared" si="64"/>
        <v>174.5</v>
      </c>
    </row>
    <row r="1310" spans="1:8" x14ac:dyDescent="0.25">
      <c r="A1310" s="2" t="str">
        <f>"MET-14WW7"</f>
        <v>MET-14WW7</v>
      </c>
      <c r="B1310" s="2" t="str">
        <f>"METOO Wand- und Deckenanbauleuchte, LED 10W, 3000K, alugrau"</f>
        <v>METOO Wand- und Deckenanbauleuchte, LED 10W, 3000K, alugrau</v>
      </c>
      <c r="C1310" s="16">
        <v>174.5</v>
      </c>
      <c r="D1310" s="11">
        <v>263</v>
      </c>
      <c r="E1310" s="7">
        <f t="shared" si="62"/>
        <v>1</v>
      </c>
      <c r="F1310" s="22" t="str">
        <f>IF(ISERROR(VLOOKUP($A1310,#REF!,3,0)),"x",VLOOKUP($A1310,#REF!,3,FALSE))</f>
        <v>x</v>
      </c>
      <c r="G1310" s="9">
        <f t="shared" si="63"/>
        <v>1</v>
      </c>
      <c r="H1310" s="13">
        <f t="shared" si="64"/>
        <v>174.5</v>
      </c>
    </row>
    <row r="1311" spans="1:8" x14ac:dyDescent="0.25">
      <c r="A1311" s="2" t="str">
        <f>"MIDI-17NW2"</f>
        <v>MIDI-17NW2</v>
      </c>
      <c r="B1311" s="2" t="str">
        <f>"5621NE4K MidiLED 17W, 4000K, inkl. Netzteil, schwarz"</f>
        <v>5621NE4K MidiLED 17W, 4000K, inkl. Netzteil, schwarz</v>
      </c>
      <c r="C1311" s="16">
        <v>397.5</v>
      </c>
      <c r="D1311" s="11">
        <v>285</v>
      </c>
      <c r="E1311" s="7">
        <f t="shared" si="62"/>
        <v>1</v>
      </c>
      <c r="F1311" s="22" t="str">
        <f>IF(ISERROR(VLOOKUP($A1311,#REF!,3,0)),"x",VLOOKUP($A1311,#REF!,3,FALSE))</f>
        <v>x</v>
      </c>
      <c r="G1311" s="9">
        <f t="shared" si="63"/>
        <v>1</v>
      </c>
      <c r="H1311" s="13">
        <f t="shared" si="64"/>
        <v>397.5</v>
      </c>
    </row>
    <row r="1312" spans="1:8" x14ac:dyDescent="0.25">
      <c r="A1312" s="2" t="str">
        <f>"MIDI-17NW7"</f>
        <v>MIDI-17NW7</v>
      </c>
      <c r="B1312" s="2" t="str">
        <f>"5621AG4K MidiLED 17W, 4000K, inkl. Netzteil, aluminiumgrau"</f>
        <v>5621AG4K MidiLED 17W, 4000K, inkl. Netzteil, aluminiumgrau</v>
      </c>
      <c r="C1312" s="16">
        <v>397.5</v>
      </c>
      <c r="D1312" s="11">
        <v>285</v>
      </c>
      <c r="E1312" s="7">
        <f t="shared" si="62"/>
        <v>1</v>
      </c>
      <c r="F1312" s="22" t="str">
        <f>IF(ISERROR(VLOOKUP($A1312,#REF!,3,0)),"x",VLOOKUP($A1312,#REF!,3,FALSE))</f>
        <v>x</v>
      </c>
      <c r="G1312" s="9">
        <f t="shared" si="63"/>
        <v>1</v>
      </c>
      <c r="H1312" s="13">
        <f t="shared" si="64"/>
        <v>397.5</v>
      </c>
    </row>
    <row r="1313" spans="1:8" x14ac:dyDescent="0.25">
      <c r="A1313" s="2" t="str">
        <f>"MIDI-17WW2"</f>
        <v>MIDI-17WW2</v>
      </c>
      <c r="B1313" s="2" t="str">
        <f>"5621NE3K MidiLED 17W, 3000K, inkl. Netzteil, schwarz"</f>
        <v>5621NE3K MidiLED 17W, 3000K, inkl. Netzteil, schwarz</v>
      </c>
      <c r="C1313" s="16">
        <v>397.5</v>
      </c>
      <c r="D1313" s="11">
        <v>285</v>
      </c>
      <c r="E1313" s="7">
        <f t="shared" si="62"/>
        <v>1</v>
      </c>
      <c r="F1313" s="22" t="str">
        <f>IF(ISERROR(VLOOKUP($A1313,#REF!,3,0)),"x",VLOOKUP($A1313,#REF!,3,FALSE))</f>
        <v>x</v>
      </c>
      <c r="G1313" s="9">
        <f t="shared" si="63"/>
        <v>1</v>
      </c>
      <c r="H1313" s="13">
        <f t="shared" si="64"/>
        <v>397.5</v>
      </c>
    </row>
    <row r="1314" spans="1:8" x14ac:dyDescent="0.25">
      <c r="A1314" s="2" t="str">
        <f>"MIDI-17WW7"</f>
        <v>MIDI-17WW7</v>
      </c>
      <c r="B1314" s="2" t="str">
        <f>"5621AG3K MidiLED 17W, 3000K, inkl. Netzteil, aluminiumgrau"</f>
        <v>5621AG3K MidiLED 17W, 3000K, inkl. Netzteil, aluminiumgrau</v>
      </c>
      <c r="C1314" s="16">
        <v>397.5</v>
      </c>
      <c r="D1314" s="11">
        <v>285</v>
      </c>
      <c r="E1314" s="7">
        <f t="shared" si="62"/>
        <v>1</v>
      </c>
      <c r="F1314" s="22" t="str">
        <f>IF(ISERROR(VLOOKUP($A1314,#REF!,3,0)),"x",VLOOKUP($A1314,#REF!,3,FALSE))</f>
        <v>x</v>
      </c>
      <c r="G1314" s="9">
        <f t="shared" si="63"/>
        <v>1</v>
      </c>
      <c r="H1314" s="13">
        <f t="shared" si="64"/>
        <v>397.5</v>
      </c>
    </row>
    <row r="1315" spans="1:8" x14ac:dyDescent="0.25">
      <c r="A1315" s="2" t="str">
        <f>"MIMIE-13NW"</f>
        <v>MIMIE-13NW</v>
      </c>
      <c r="B1315" s="2" t="str">
        <f>"MIMI Wandleuchte eckig, 13W, 360°, 220x220mm, 220-240V, 945lm, 4000K, IP65"</f>
        <v>MIMI Wandleuchte eckig, 13W, 360°, 220x220mm, 220-240V, 945lm, 4000K, IP65</v>
      </c>
      <c r="C1315" s="16">
        <v>343</v>
      </c>
      <c r="D1315" s="11">
        <v>253</v>
      </c>
      <c r="E1315" s="7">
        <f t="shared" si="62"/>
        <v>1</v>
      </c>
      <c r="F1315" s="22" t="str">
        <f>IF(ISERROR(VLOOKUP($A1315,#REF!,3,0)),"x",VLOOKUP($A1315,#REF!,3,FALSE))</f>
        <v>x</v>
      </c>
      <c r="G1315" s="9">
        <f t="shared" si="63"/>
        <v>1</v>
      </c>
      <c r="H1315" s="13">
        <f t="shared" si="64"/>
        <v>343</v>
      </c>
    </row>
    <row r="1316" spans="1:8" x14ac:dyDescent="0.25">
      <c r="A1316" s="2" t="str">
        <f>"MIMIE-13SW"</f>
        <v>MIMIE-13SW</v>
      </c>
      <c r="B1316" s="2" t="str">
        <f>"MIMI Wandleuchte eckig, 13W, 360°, 220x220mm, 220-240V, 850lm, 2700K, IP65"</f>
        <v>MIMI Wandleuchte eckig, 13W, 360°, 220x220mm, 220-240V, 850lm, 2700K, IP65</v>
      </c>
      <c r="C1316" s="16">
        <v>343</v>
      </c>
      <c r="D1316" s="11">
        <v>253</v>
      </c>
      <c r="E1316" s="7">
        <f t="shared" si="62"/>
        <v>1</v>
      </c>
      <c r="F1316" s="22" t="str">
        <f>IF(ISERROR(VLOOKUP($A1316,#REF!,3,0)),"x",VLOOKUP($A1316,#REF!,3,FALSE))</f>
        <v>x</v>
      </c>
      <c r="G1316" s="9">
        <f t="shared" si="63"/>
        <v>1</v>
      </c>
      <c r="H1316" s="13">
        <f t="shared" si="64"/>
        <v>343</v>
      </c>
    </row>
    <row r="1317" spans="1:8" x14ac:dyDescent="0.25">
      <c r="A1317" s="2" t="str">
        <f>"MIMIE-13WW"</f>
        <v>MIMIE-13WW</v>
      </c>
      <c r="B1317" s="2" t="str">
        <f>"MIMI Wandleuchte eckig, 13W, 360°, 220x220mm, 220-240V, 900lm, 3000K, IP65"</f>
        <v>MIMI Wandleuchte eckig, 13W, 360°, 220x220mm, 220-240V, 900lm, 3000K, IP65</v>
      </c>
      <c r="C1317" s="16">
        <v>343</v>
      </c>
      <c r="D1317" s="11">
        <v>253</v>
      </c>
      <c r="E1317" s="7">
        <f t="shared" si="62"/>
        <v>1</v>
      </c>
      <c r="F1317" s="22" t="str">
        <f>IF(ISERROR(VLOOKUP($A1317,#REF!,3,0)),"x",VLOOKUP($A1317,#REF!,3,FALSE))</f>
        <v>x</v>
      </c>
      <c r="G1317" s="9">
        <f t="shared" si="63"/>
        <v>1</v>
      </c>
      <c r="H1317" s="13">
        <f t="shared" si="64"/>
        <v>343</v>
      </c>
    </row>
    <row r="1318" spans="1:8" x14ac:dyDescent="0.25">
      <c r="A1318" s="2" t="str">
        <f>"MIMIR-13NW"</f>
        <v>MIMIR-13NW</v>
      </c>
      <c r="B1318" s="2" t="str">
        <f>"MIMI Wandleuchte rund, 13W, 360°, D220mm, 220-240V, 945lm, 4000K, IP65"</f>
        <v>MIMI Wandleuchte rund, 13W, 360°, D220mm, 220-240V, 945lm, 4000K, IP65</v>
      </c>
      <c r="C1318" s="16">
        <v>343</v>
      </c>
      <c r="D1318" s="11">
        <v>253</v>
      </c>
      <c r="E1318" s="7">
        <f t="shared" si="62"/>
        <v>1</v>
      </c>
      <c r="F1318" s="22" t="str">
        <f>IF(ISERROR(VLOOKUP($A1318,#REF!,3,0)),"x",VLOOKUP($A1318,#REF!,3,FALSE))</f>
        <v>x</v>
      </c>
      <c r="G1318" s="9">
        <f t="shared" si="63"/>
        <v>1</v>
      </c>
      <c r="H1318" s="13">
        <f t="shared" si="64"/>
        <v>343</v>
      </c>
    </row>
    <row r="1319" spans="1:8" x14ac:dyDescent="0.25">
      <c r="A1319" s="2" t="str">
        <f>"MIMIR-13SW"</f>
        <v>MIMIR-13SW</v>
      </c>
      <c r="B1319" s="2" t="str">
        <f>"MIMI Wandleuchte rund, 13W, 360°, D220mm, 220-240V, 850lm, 2700K, IP65"</f>
        <v>MIMI Wandleuchte rund, 13W, 360°, D220mm, 220-240V, 850lm, 2700K, IP65</v>
      </c>
      <c r="C1319" s="16">
        <v>343</v>
      </c>
      <c r="D1319" s="11">
        <v>253</v>
      </c>
      <c r="E1319" s="7">
        <f t="shared" si="62"/>
        <v>1</v>
      </c>
      <c r="F1319" s="22" t="str">
        <f>IF(ISERROR(VLOOKUP($A1319,#REF!,3,0)),"x",VLOOKUP($A1319,#REF!,3,FALSE))</f>
        <v>x</v>
      </c>
      <c r="G1319" s="9">
        <f t="shared" si="63"/>
        <v>1</v>
      </c>
      <c r="H1319" s="13">
        <f t="shared" si="64"/>
        <v>343</v>
      </c>
    </row>
    <row r="1320" spans="1:8" x14ac:dyDescent="0.25">
      <c r="A1320" s="2" t="str">
        <f>"MIMIR-13WW"</f>
        <v>MIMIR-13WW</v>
      </c>
      <c r="B1320" s="2" t="str">
        <f>"MIMI Wandleuchte rund, 13W, 360°, D220mm, 220-240V, 900lm, 3000K, IP65"</f>
        <v>MIMI Wandleuchte rund, 13W, 360°, D220mm, 220-240V, 900lm, 3000K, IP65</v>
      </c>
      <c r="C1320" s="16">
        <v>343</v>
      </c>
      <c r="D1320" s="11">
        <v>253</v>
      </c>
      <c r="E1320" s="7">
        <f t="shared" si="62"/>
        <v>1</v>
      </c>
      <c r="F1320" s="22" t="str">
        <f>IF(ISERROR(VLOOKUP($A1320,#REF!,3,0)),"x",VLOOKUP($A1320,#REF!,3,FALSE))</f>
        <v>x</v>
      </c>
      <c r="G1320" s="9">
        <f t="shared" si="63"/>
        <v>1</v>
      </c>
      <c r="H1320" s="13">
        <f t="shared" si="64"/>
        <v>343</v>
      </c>
    </row>
    <row r="1321" spans="1:8" x14ac:dyDescent="0.25">
      <c r="A1321" s="2" t="str">
        <f>"MIN-18NW11-60"</f>
        <v>MIN-18NW11-60</v>
      </c>
      <c r="B1321" s="2" t="str">
        <f>"MIN Schienenstrahler,  CoB LED, 18W, 60°, 4000K, Gehäuse weiß"</f>
        <v>MIN Schienenstrahler,  CoB LED, 18W, 60°, 4000K, Gehäuse weiß</v>
      </c>
      <c r="C1321" s="16">
        <v>124.5</v>
      </c>
      <c r="D1321" s="11">
        <v>29</v>
      </c>
      <c r="E1321" s="7">
        <f t="shared" si="62"/>
        <v>1</v>
      </c>
      <c r="F1321" s="22" t="str">
        <f>IF(ISERROR(VLOOKUP($A1321,#REF!,3,0)),"x",VLOOKUP($A1321,#REF!,3,FALSE))</f>
        <v>x</v>
      </c>
      <c r="G1321" s="9">
        <f t="shared" si="63"/>
        <v>1</v>
      </c>
      <c r="H1321" s="13">
        <f t="shared" si="64"/>
        <v>124.5</v>
      </c>
    </row>
    <row r="1322" spans="1:8" x14ac:dyDescent="0.25">
      <c r="A1322" s="2" t="str">
        <f>"MIN-18NW11F"</f>
        <v>MIN-18NW11F</v>
      </c>
      <c r="B1322" s="2" t="str">
        <f>"MIN Schienenstrahler,  CoB LED, 18W, 36°, 4000K, Gehäuse weiß"</f>
        <v>MIN Schienenstrahler,  CoB LED, 18W, 36°, 4000K, Gehäuse weiß</v>
      </c>
      <c r="C1322" s="16">
        <v>124.5</v>
      </c>
      <c r="D1322" s="11">
        <v>29</v>
      </c>
      <c r="E1322" s="7">
        <f t="shared" si="62"/>
        <v>1</v>
      </c>
      <c r="F1322" s="22" t="str">
        <f>IF(ISERROR(VLOOKUP($A1322,#REF!,3,0)),"x",VLOOKUP($A1322,#REF!,3,FALSE))</f>
        <v>x</v>
      </c>
      <c r="G1322" s="9">
        <f t="shared" si="63"/>
        <v>1</v>
      </c>
      <c r="H1322" s="13">
        <f t="shared" si="64"/>
        <v>124.5</v>
      </c>
    </row>
    <row r="1323" spans="1:8" x14ac:dyDescent="0.25">
      <c r="A1323" s="2" t="str">
        <f>"MIN-18NW11S"</f>
        <v>MIN-18NW11S</v>
      </c>
      <c r="B1323" s="2" t="str">
        <f>"MIN Schienenstrahler,  CoB LED, 18W, 15°, 4000K, Gehäuse weiß"</f>
        <v>MIN Schienenstrahler,  CoB LED, 18W, 15°, 4000K, Gehäuse weiß</v>
      </c>
      <c r="C1323" s="16">
        <v>124.5</v>
      </c>
      <c r="D1323" s="11">
        <v>29</v>
      </c>
      <c r="E1323" s="7">
        <f t="shared" si="62"/>
        <v>1</v>
      </c>
      <c r="F1323" s="22" t="str">
        <f>IF(ISERROR(VLOOKUP($A1323,#REF!,3,0)),"x",VLOOKUP($A1323,#REF!,3,FALSE))</f>
        <v>x</v>
      </c>
      <c r="G1323" s="9">
        <f t="shared" si="63"/>
        <v>1</v>
      </c>
      <c r="H1323" s="13">
        <f t="shared" si="64"/>
        <v>124.5</v>
      </c>
    </row>
    <row r="1324" spans="1:8" x14ac:dyDescent="0.25">
      <c r="A1324" s="2" t="str">
        <f>"MIN-18NW12-60"</f>
        <v>MIN-18NW12-60</v>
      </c>
      <c r="B1324" s="2" t="str">
        <f>"MIN Schienenstrahler,  CoB LED, 18W, 60°, 4000K, Gehäuse schwarz"</f>
        <v>MIN Schienenstrahler,  CoB LED, 18W, 60°, 4000K, Gehäuse schwarz</v>
      </c>
      <c r="C1324" s="16">
        <v>124.5</v>
      </c>
      <c r="D1324" s="11">
        <v>29</v>
      </c>
      <c r="E1324" s="7">
        <f t="shared" si="62"/>
        <v>1</v>
      </c>
      <c r="F1324" s="22" t="str">
        <f>IF(ISERROR(VLOOKUP($A1324,#REF!,3,0)),"x",VLOOKUP($A1324,#REF!,3,FALSE))</f>
        <v>x</v>
      </c>
      <c r="G1324" s="9">
        <f t="shared" si="63"/>
        <v>1</v>
      </c>
      <c r="H1324" s="13">
        <f t="shared" si="64"/>
        <v>124.5</v>
      </c>
    </row>
    <row r="1325" spans="1:8" x14ac:dyDescent="0.25">
      <c r="A1325" s="2" t="str">
        <f>"MIN-18NW12F"</f>
        <v>MIN-18NW12F</v>
      </c>
      <c r="B1325" s="2" t="str">
        <f>"MIN Schienenstrahler,  CoB LED, 18W, 36°, 4000K, Gehäuse schwarz"</f>
        <v>MIN Schienenstrahler,  CoB LED, 18W, 36°, 4000K, Gehäuse schwarz</v>
      </c>
      <c r="C1325" s="16">
        <v>124.5</v>
      </c>
      <c r="D1325" s="11">
        <v>29</v>
      </c>
      <c r="E1325" s="7">
        <f t="shared" si="62"/>
        <v>1</v>
      </c>
      <c r="F1325" s="22" t="str">
        <f>IF(ISERROR(VLOOKUP($A1325,#REF!,3,0)),"x",VLOOKUP($A1325,#REF!,3,FALSE))</f>
        <v>x</v>
      </c>
      <c r="G1325" s="9">
        <f t="shared" si="63"/>
        <v>1</v>
      </c>
      <c r="H1325" s="13">
        <f t="shared" si="64"/>
        <v>124.5</v>
      </c>
    </row>
    <row r="1326" spans="1:8" x14ac:dyDescent="0.25">
      <c r="A1326" s="2" t="str">
        <f>"MIN-18NW12S"</f>
        <v>MIN-18NW12S</v>
      </c>
      <c r="B1326" s="2" t="str">
        <f>"MIN Schienenstrahler,  CoB LED, 18W, 15°, 4000K, Gehäuse schwarz"</f>
        <v>MIN Schienenstrahler,  CoB LED, 18W, 15°, 4000K, Gehäuse schwarz</v>
      </c>
      <c r="C1326" s="16">
        <v>124.5</v>
      </c>
      <c r="D1326" s="11">
        <v>29</v>
      </c>
      <c r="E1326" s="7">
        <f t="shared" si="62"/>
        <v>1</v>
      </c>
      <c r="F1326" s="22" t="str">
        <f>IF(ISERROR(VLOOKUP($A1326,#REF!,3,0)),"x",VLOOKUP($A1326,#REF!,3,FALSE))</f>
        <v>x</v>
      </c>
      <c r="G1326" s="9">
        <f t="shared" si="63"/>
        <v>1</v>
      </c>
      <c r="H1326" s="13">
        <f t="shared" si="64"/>
        <v>124.5</v>
      </c>
    </row>
    <row r="1327" spans="1:8" x14ac:dyDescent="0.25">
      <c r="A1327" s="2" t="str">
        <f>"MIN-18SW11-60"</f>
        <v>MIN-18SW11-60</v>
      </c>
      <c r="B1327" s="2" t="str">
        <f>"MIN Schienenstrahler,  CoB LED, 18W, 60°, 2700K, Gehäuse weiß"</f>
        <v>MIN Schienenstrahler,  CoB LED, 18W, 60°, 2700K, Gehäuse weiß</v>
      </c>
      <c r="C1327" s="16">
        <v>124.5</v>
      </c>
      <c r="D1327" s="11">
        <v>29</v>
      </c>
      <c r="E1327" s="7">
        <f t="shared" si="62"/>
        <v>1</v>
      </c>
      <c r="F1327" s="22" t="str">
        <f>IF(ISERROR(VLOOKUP($A1327,#REF!,3,0)),"x",VLOOKUP($A1327,#REF!,3,FALSE))</f>
        <v>x</v>
      </c>
      <c r="G1327" s="9">
        <f t="shared" si="63"/>
        <v>1</v>
      </c>
      <c r="H1327" s="13">
        <f t="shared" si="64"/>
        <v>124.5</v>
      </c>
    </row>
    <row r="1328" spans="1:8" x14ac:dyDescent="0.25">
      <c r="A1328" s="2" t="str">
        <f>"MIN-18SW11F"</f>
        <v>MIN-18SW11F</v>
      </c>
      <c r="B1328" s="2" t="str">
        <f>"MIN Schienenstrahler,  CoB LED, 18W, 36°, 2700K, Gehäuse weiß"</f>
        <v>MIN Schienenstrahler,  CoB LED, 18W, 36°, 2700K, Gehäuse weiß</v>
      </c>
      <c r="C1328" s="16">
        <v>124.5</v>
      </c>
      <c r="D1328" s="11">
        <v>29</v>
      </c>
      <c r="E1328" s="7">
        <f t="shared" si="62"/>
        <v>1</v>
      </c>
      <c r="F1328" s="22" t="str">
        <f>IF(ISERROR(VLOOKUP($A1328,#REF!,3,0)),"x",VLOOKUP($A1328,#REF!,3,FALSE))</f>
        <v>x</v>
      </c>
      <c r="G1328" s="9">
        <f t="shared" si="63"/>
        <v>1</v>
      </c>
      <c r="H1328" s="13">
        <f t="shared" si="64"/>
        <v>124.5</v>
      </c>
    </row>
    <row r="1329" spans="1:8" x14ac:dyDescent="0.25">
      <c r="A1329" s="2" t="str">
        <f>"MIN-18SW11S"</f>
        <v>MIN-18SW11S</v>
      </c>
      <c r="B1329" s="2" t="str">
        <f>"MIN Schienenstrahler,  CoB LED, 18W, 15°, 2700K, Gehäuse weiß"</f>
        <v>MIN Schienenstrahler,  CoB LED, 18W, 15°, 2700K, Gehäuse weiß</v>
      </c>
      <c r="C1329" s="16">
        <v>124.5</v>
      </c>
      <c r="D1329" s="11">
        <v>29</v>
      </c>
      <c r="E1329" s="7">
        <f t="shared" si="62"/>
        <v>1</v>
      </c>
      <c r="F1329" s="22" t="str">
        <f>IF(ISERROR(VLOOKUP($A1329,#REF!,3,0)),"x",VLOOKUP($A1329,#REF!,3,FALSE))</f>
        <v>x</v>
      </c>
      <c r="G1329" s="9">
        <f t="shared" si="63"/>
        <v>1</v>
      </c>
      <c r="H1329" s="13">
        <f t="shared" si="64"/>
        <v>124.5</v>
      </c>
    </row>
    <row r="1330" spans="1:8" x14ac:dyDescent="0.25">
      <c r="A1330" s="2" t="str">
        <f>"MIN-18SW12-60"</f>
        <v>MIN-18SW12-60</v>
      </c>
      <c r="B1330" s="2" t="str">
        <f>"MIN Schienenstrahler,  CoB LED, 18W, 60°, 2700K, Gehäuse schwarz"</f>
        <v>MIN Schienenstrahler,  CoB LED, 18W, 60°, 2700K, Gehäuse schwarz</v>
      </c>
      <c r="C1330" s="16">
        <v>124.5</v>
      </c>
      <c r="D1330" s="11">
        <v>29</v>
      </c>
      <c r="E1330" s="7">
        <f t="shared" si="62"/>
        <v>1</v>
      </c>
      <c r="F1330" s="22" t="str">
        <f>IF(ISERROR(VLOOKUP($A1330,#REF!,3,0)),"x",VLOOKUP($A1330,#REF!,3,FALSE))</f>
        <v>x</v>
      </c>
      <c r="G1330" s="9">
        <f t="shared" si="63"/>
        <v>1</v>
      </c>
      <c r="H1330" s="13">
        <f t="shared" si="64"/>
        <v>124.5</v>
      </c>
    </row>
    <row r="1331" spans="1:8" x14ac:dyDescent="0.25">
      <c r="A1331" s="2" t="str">
        <f>"MIN-18SW12F"</f>
        <v>MIN-18SW12F</v>
      </c>
      <c r="B1331" s="2" t="str">
        <f>"MIN Schienenstrahler,  CoB LED, 18W, 36°, 2700K, Gehäuse schwarz"</f>
        <v>MIN Schienenstrahler,  CoB LED, 18W, 36°, 2700K, Gehäuse schwarz</v>
      </c>
      <c r="C1331" s="16">
        <v>124.5</v>
      </c>
      <c r="D1331" s="11">
        <v>29</v>
      </c>
      <c r="E1331" s="7">
        <f t="shared" si="62"/>
        <v>1</v>
      </c>
      <c r="F1331" s="22" t="str">
        <f>IF(ISERROR(VLOOKUP($A1331,#REF!,3,0)),"x",VLOOKUP($A1331,#REF!,3,FALSE))</f>
        <v>x</v>
      </c>
      <c r="G1331" s="9">
        <f t="shared" si="63"/>
        <v>1</v>
      </c>
      <c r="H1331" s="13">
        <f t="shared" si="64"/>
        <v>124.5</v>
      </c>
    </row>
    <row r="1332" spans="1:8" x14ac:dyDescent="0.25">
      <c r="A1332" s="2" t="str">
        <f>"MIN-18SW12S"</f>
        <v>MIN-18SW12S</v>
      </c>
      <c r="B1332" s="2" t="str">
        <f>"MIN Schienenstrahler,  CoB LED, 18W, 15°, 2700K, Gehäuse schwarz"</f>
        <v>MIN Schienenstrahler,  CoB LED, 18W, 15°, 2700K, Gehäuse schwarz</v>
      </c>
      <c r="C1332" s="16">
        <v>124.5</v>
      </c>
      <c r="D1332" s="11">
        <v>29</v>
      </c>
      <c r="E1332" s="7">
        <f t="shared" si="62"/>
        <v>1</v>
      </c>
      <c r="F1332" s="22" t="str">
        <f>IF(ISERROR(VLOOKUP($A1332,#REF!,3,0)),"x",VLOOKUP($A1332,#REF!,3,FALSE))</f>
        <v>x</v>
      </c>
      <c r="G1332" s="9">
        <f t="shared" si="63"/>
        <v>1</v>
      </c>
      <c r="H1332" s="13">
        <f t="shared" si="64"/>
        <v>124.5</v>
      </c>
    </row>
    <row r="1333" spans="1:8" x14ac:dyDescent="0.25">
      <c r="A1333" s="2" t="str">
        <f>"MIN-18WNW11-60"</f>
        <v>MIN-18WNW11-60</v>
      </c>
      <c r="B1333" s="2" t="str">
        <f>"MIN Schienenstrahler,  CoB LED, 18W, 60°, 3500K, Gehäuse weiß"</f>
        <v>MIN Schienenstrahler,  CoB LED, 18W, 60°, 3500K, Gehäuse weiß</v>
      </c>
      <c r="C1333" s="16">
        <v>124.5</v>
      </c>
      <c r="D1333" s="11">
        <v>29</v>
      </c>
      <c r="E1333" s="7">
        <f t="shared" si="62"/>
        <v>1</v>
      </c>
      <c r="F1333" s="22" t="str">
        <f>IF(ISERROR(VLOOKUP($A1333,#REF!,3,0)),"x",VLOOKUP($A1333,#REF!,3,FALSE))</f>
        <v>x</v>
      </c>
      <c r="G1333" s="9">
        <f t="shared" si="63"/>
        <v>1</v>
      </c>
      <c r="H1333" s="13">
        <f t="shared" si="64"/>
        <v>124.5</v>
      </c>
    </row>
    <row r="1334" spans="1:8" x14ac:dyDescent="0.25">
      <c r="A1334" s="2" t="str">
        <f>"MIN-18WNW11F"</f>
        <v>MIN-18WNW11F</v>
      </c>
      <c r="B1334" s="2" t="str">
        <f>"MIN Schienenstrahler,  CoB LED, 18W, 36°, 3500K, Gehäuse weiß"</f>
        <v>MIN Schienenstrahler,  CoB LED, 18W, 36°, 3500K, Gehäuse weiß</v>
      </c>
      <c r="C1334" s="16">
        <v>124.5</v>
      </c>
      <c r="D1334" s="11">
        <v>29</v>
      </c>
      <c r="E1334" s="7">
        <f t="shared" si="62"/>
        <v>1</v>
      </c>
      <c r="F1334" s="22" t="str">
        <f>IF(ISERROR(VLOOKUP($A1334,#REF!,3,0)),"x",VLOOKUP($A1334,#REF!,3,FALSE))</f>
        <v>x</v>
      </c>
      <c r="G1334" s="9">
        <f t="shared" si="63"/>
        <v>1</v>
      </c>
      <c r="H1334" s="13">
        <f t="shared" si="64"/>
        <v>124.5</v>
      </c>
    </row>
    <row r="1335" spans="1:8" x14ac:dyDescent="0.25">
      <c r="A1335" s="2" t="str">
        <f>"MIN-18WNW11S"</f>
        <v>MIN-18WNW11S</v>
      </c>
      <c r="B1335" s="2" t="str">
        <f>"MIN Schienenstrahler,  CoB LED, 18W, 15°, 3500K, Gehäuse weiß"</f>
        <v>MIN Schienenstrahler,  CoB LED, 18W, 15°, 3500K, Gehäuse weiß</v>
      </c>
      <c r="C1335" s="16">
        <v>124.5</v>
      </c>
      <c r="D1335" s="11">
        <v>29</v>
      </c>
      <c r="E1335" s="7">
        <f t="shared" si="62"/>
        <v>1</v>
      </c>
      <c r="F1335" s="22" t="str">
        <f>IF(ISERROR(VLOOKUP($A1335,#REF!,3,0)),"x",VLOOKUP($A1335,#REF!,3,FALSE))</f>
        <v>x</v>
      </c>
      <c r="G1335" s="9">
        <f t="shared" si="63"/>
        <v>1</v>
      </c>
      <c r="H1335" s="13">
        <f t="shared" si="64"/>
        <v>124.5</v>
      </c>
    </row>
    <row r="1336" spans="1:8" x14ac:dyDescent="0.25">
      <c r="A1336" s="2" t="str">
        <f>"MIN-18WNW12-60"</f>
        <v>MIN-18WNW12-60</v>
      </c>
      <c r="B1336" s="2" t="str">
        <f>"MIN Schienenstrahler,  CoB LED, 18W, 60°, 3500K, Gehäuse schwarz"</f>
        <v>MIN Schienenstrahler,  CoB LED, 18W, 60°, 3500K, Gehäuse schwarz</v>
      </c>
      <c r="C1336" s="16">
        <v>124.5</v>
      </c>
      <c r="D1336" s="11">
        <v>29</v>
      </c>
      <c r="E1336" s="7">
        <f t="shared" si="62"/>
        <v>1</v>
      </c>
      <c r="F1336" s="22" t="str">
        <f>IF(ISERROR(VLOOKUP($A1336,#REF!,3,0)),"x",VLOOKUP($A1336,#REF!,3,FALSE))</f>
        <v>x</v>
      </c>
      <c r="G1336" s="9">
        <f t="shared" si="63"/>
        <v>1</v>
      </c>
      <c r="H1336" s="13">
        <f t="shared" si="64"/>
        <v>124.5</v>
      </c>
    </row>
    <row r="1337" spans="1:8" x14ac:dyDescent="0.25">
      <c r="A1337" s="2" t="str">
        <f>"MIN-18WNW12F"</f>
        <v>MIN-18WNW12F</v>
      </c>
      <c r="B1337" s="2" t="str">
        <f>"MIN Schienenstrahler,  CoB LED, 18W, 36°, 3500K, Gehäuse schwarz"</f>
        <v>MIN Schienenstrahler,  CoB LED, 18W, 36°, 3500K, Gehäuse schwarz</v>
      </c>
      <c r="C1337" s="16">
        <v>124.5</v>
      </c>
      <c r="D1337" s="11">
        <v>29</v>
      </c>
      <c r="E1337" s="7">
        <f t="shared" si="62"/>
        <v>1</v>
      </c>
      <c r="F1337" s="22" t="str">
        <f>IF(ISERROR(VLOOKUP($A1337,#REF!,3,0)),"x",VLOOKUP($A1337,#REF!,3,FALSE))</f>
        <v>x</v>
      </c>
      <c r="G1337" s="9">
        <f t="shared" si="63"/>
        <v>1</v>
      </c>
      <c r="H1337" s="13">
        <f t="shared" si="64"/>
        <v>124.5</v>
      </c>
    </row>
    <row r="1338" spans="1:8" x14ac:dyDescent="0.25">
      <c r="A1338" s="2" t="str">
        <f>"MIN-18WNW12S"</f>
        <v>MIN-18WNW12S</v>
      </c>
      <c r="B1338" s="2" t="str">
        <f>"MIN Schienenstrahler,  CoB LED, 18W, 15°, 3500K, Gehäuse schwarz"</f>
        <v>MIN Schienenstrahler,  CoB LED, 18W, 15°, 3500K, Gehäuse schwarz</v>
      </c>
      <c r="C1338" s="16">
        <v>124.5</v>
      </c>
      <c r="D1338" s="11">
        <v>29</v>
      </c>
      <c r="E1338" s="7">
        <f t="shared" si="62"/>
        <v>1</v>
      </c>
      <c r="F1338" s="22" t="str">
        <f>IF(ISERROR(VLOOKUP($A1338,#REF!,3,0)),"x",VLOOKUP($A1338,#REF!,3,FALSE))</f>
        <v>x</v>
      </c>
      <c r="G1338" s="9">
        <f t="shared" si="63"/>
        <v>1</v>
      </c>
      <c r="H1338" s="13">
        <f t="shared" si="64"/>
        <v>124.5</v>
      </c>
    </row>
    <row r="1339" spans="1:8" x14ac:dyDescent="0.25">
      <c r="A1339" s="2" t="str">
        <f>"MIN-18WW11-60"</f>
        <v>MIN-18WW11-60</v>
      </c>
      <c r="B1339" s="2" t="str">
        <f>"MIN Schienenstrahler,  CoB LED, 18W, 60°, 3000K, Gehäuse weiß"</f>
        <v>MIN Schienenstrahler,  CoB LED, 18W, 60°, 3000K, Gehäuse weiß</v>
      </c>
      <c r="C1339" s="16">
        <v>124.5</v>
      </c>
      <c r="D1339" s="11">
        <v>29</v>
      </c>
      <c r="E1339" s="7">
        <f t="shared" si="62"/>
        <v>1</v>
      </c>
      <c r="F1339" s="22" t="str">
        <f>IF(ISERROR(VLOOKUP($A1339,#REF!,3,0)),"x",VLOOKUP($A1339,#REF!,3,FALSE))</f>
        <v>x</v>
      </c>
      <c r="G1339" s="9">
        <f t="shared" si="63"/>
        <v>1</v>
      </c>
      <c r="H1339" s="13">
        <f t="shared" si="64"/>
        <v>124.5</v>
      </c>
    </row>
    <row r="1340" spans="1:8" x14ac:dyDescent="0.25">
      <c r="A1340" s="2" t="str">
        <f>"MIN-18WW11F"</f>
        <v>MIN-18WW11F</v>
      </c>
      <c r="B1340" s="2" t="str">
        <f>"MIN Schienenstrahler,  CoB LED, 18W, 36°, 3000K, Gehäuse weiß"</f>
        <v>MIN Schienenstrahler,  CoB LED, 18W, 36°, 3000K, Gehäuse weiß</v>
      </c>
      <c r="C1340" s="16">
        <v>124.5</v>
      </c>
      <c r="D1340" s="11">
        <v>29</v>
      </c>
      <c r="E1340" s="7">
        <f t="shared" si="62"/>
        <v>1</v>
      </c>
      <c r="F1340" s="22" t="str">
        <f>IF(ISERROR(VLOOKUP($A1340,#REF!,3,0)),"x",VLOOKUP($A1340,#REF!,3,FALSE))</f>
        <v>x</v>
      </c>
      <c r="G1340" s="9">
        <f t="shared" si="63"/>
        <v>1</v>
      </c>
      <c r="H1340" s="13">
        <f t="shared" si="64"/>
        <v>124.5</v>
      </c>
    </row>
    <row r="1341" spans="1:8" x14ac:dyDescent="0.25">
      <c r="A1341" s="2" t="str">
        <f>"MIN-18WW11S"</f>
        <v>MIN-18WW11S</v>
      </c>
      <c r="B1341" s="2" t="str">
        <f>"MIN Schienenstrahler,  CoB LED, 18W, 15°, 3000K, Gehäuse weiß"</f>
        <v>MIN Schienenstrahler,  CoB LED, 18W, 15°, 3000K, Gehäuse weiß</v>
      </c>
      <c r="C1341" s="16">
        <v>124.5</v>
      </c>
      <c r="D1341" s="11">
        <v>29</v>
      </c>
      <c r="E1341" s="7">
        <f t="shared" si="62"/>
        <v>1</v>
      </c>
      <c r="F1341" s="22" t="str">
        <f>IF(ISERROR(VLOOKUP($A1341,#REF!,3,0)),"x",VLOOKUP($A1341,#REF!,3,FALSE))</f>
        <v>x</v>
      </c>
      <c r="G1341" s="9">
        <f t="shared" si="63"/>
        <v>1</v>
      </c>
      <c r="H1341" s="13">
        <f t="shared" si="64"/>
        <v>124.5</v>
      </c>
    </row>
    <row r="1342" spans="1:8" x14ac:dyDescent="0.25">
      <c r="A1342" s="2" t="str">
        <f>"MIN-18WW12-60"</f>
        <v>MIN-18WW12-60</v>
      </c>
      <c r="B1342" s="2" t="str">
        <f>"MIN Schienenstrahler,  CoB LED, 18W, 60°, 3000K, Gehäuse schwarz"</f>
        <v>MIN Schienenstrahler,  CoB LED, 18W, 60°, 3000K, Gehäuse schwarz</v>
      </c>
      <c r="C1342" s="16">
        <v>124.5</v>
      </c>
      <c r="D1342" s="11">
        <v>29</v>
      </c>
      <c r="E1342" s="7">
        <f t="shared" si="62"/>
        <v>1</v>
      </c>
      <c r="F1342" s="22" t="str">
        <f>IF(ISERROR(VLOOKUP($A1342,#REF!,3,0)),"x",VLOOKUP($A1342,#REF!,3,FALSE))</f>
        <v>x</v>
      </c>
      <c r="G1342" s="9">
        <f t="shared" si="63"/>
        <v>1</v>
      </c>
      <c r="H1342" s="13">
        <f t="shared" si="64"/>
        <v>124.5</v>
      </c>
    </row>
    <row r="1343" spans="1:8" x14ac:dyDescent="0.25">
      <c r="A1343" s="2" t="str">
        <f>"MIN-18WW12F"</f>
        <v>MIN-18WW12F</v>
      </c>
      <c r="B1343" s="2" t="str">
        <f>"MIN Schienenstrahler,  CoB LED, 18W, 36°, 3000K, Gehäuse schwarz"</f>
        <v>MIN Schienenstrahler,  CoB LED, 18W, 36°, 3000K, Gehäuse schwarz</v>
      </c>
      <c r="C1343" s="16">
        <v>124.5</v>
      </c>
      <c r="D1343" s="11">
        <v>29</v>
      </c>
      <c r="E1343" s="7">
        <f t="shared" si="62"/>
        <v>1</v>
      </c>
      <c r="F1343" s="22" t="str">
        <f>IF(ISERROR(VLOOKUP($A1343,#REF!,3,0)),"x",VLOOKUP($A1343,#REF!,3,FALSE))</f>
        <v>x</v>
      </c>
      <c r="G1343" s="9">
        <f t="shared" si="63"/>
        <v>1</v>
      </c>
      <c r="H1343" s="13">
        <f t="shared" si="64"/>
        <v>124.5</v>
      </c>
    </row>
    <row r="1344" spans="1:8" x14ac:dyDescent="0.25">
      <c r="A1344" s="2" t="str">
        <f>"MIN-18WW12S"</f>
        <v>MIN-18WW12S</v>
      </c>
      <c r="B1344" s="2" t="str">
        <f>"MIN Schienenstrahler,  CoB LED, 18W, 15°, 3000K, Gehäuse schwarz"</f>
        <v>MIN Schienenstrahler,  CoB LED, 18W, 15°, 3000K, Gehäuse schwarz</v>
      </c>
      <c r="C1344" s="16">
        <v>124.5</v>
      </c>
      <c r="D1344" s="11">
        <v>29</v>
      </c>
      <c r="E1344" s="7">
        <f t="shared" si="62"/>
        <v>1</v>
      </c>
      <c r="F1344" s="22" t="str">
        <f>IF(ISERROR(VLOOKUP($A1344,#REF!,3,0)),"x",VLOOKUP($A1344,#REF!,3,FALSE))</f>
        <v>x</v>
      </c>
      <c r="G1344" s="9">
        <f t="shared" si="63"/>
        <v>1</v>
      </c>
      <c r="H1344" s="13">
        <f t="shared" si="64"/>
        <v>124.5</v>
      </c>
    </row>
    <row r="1345" spans="1:8" x14ac:dyDescent="0.25">
      <c r="A1345" s="2" t="str">
        <f>"MIN-25NW11-60"</f>
        <v>MIN-25NW11-60</v>
      </c>
      <c r="B1345" s="2" t="str">
        <f>"MIN Schienenstrahler,  CoB LED, 25W, 60°, 4000K, Gehäuse weiß"</f>
        <v>MIN Schienenstrahler,  CoB LED, 25W, 60°, 4000K, Gehäuse weiß</v>
      </c>
      <c r="C1345" s="16">
        <v>124.5</v>
      </c>
      <c r="D1345" s="11">
        <v>29</v>
      </c>
      <c r="E1345" s="7">
        <f t="shared" si="62"/>
        <v>1</v>
      </c>
      <c r="F1345" s="22" t="str">
        <f>IF(ISERROR(VLOOKUP($A1345,#REF!,3,0)),"x",VLOOKUP($A1345,#REF!,3,FALSE))</f>
        <v>x</v>
      </c>
      <c r="G1345" s="9">
        <f t="shared" si="63"/>
        <v>1</v>
      </c>
      <c r="H1345" s="13">
        <f t="shared" si="64"/>
        <v>124.5</v>
      </c>
    </row>
    <row r="1346" spans="1:8" x14ac:dyDescent="0.25">
      <c r="A1346" s="2" t="str">
        <f>"MIN-25NW11F"</f>
        <v>MIN-25NW11F</v>
      </c>
      <c r="B1346" s="2" t="str">
        <f>"MIN Schienenstrahler,  CoB LED, 25W, 36°, 4000K, Gehäuse weiß"</f>
        <v>MIN Schienenstrahler,  CoB LED, 25W, 36°, 4000K, Gehäuse weiß</v>
      </c>
      <c r="C1346" s="16">
        <v>124.5</v>
      </c>
      <c r="D1346" s="11">
        <v>29</v>
      </c>
      <c r="E1346" s="7">
        <f t="shared" si="62"/>
        <v>1</v>
      </c>
      <c r="F1346" s="22" t="str">
        <f>IF(ISERROR(VLOOKUP($A1346,#REF!,3,0)),"x",VLOOKUP($A1346,#REF!,3,FALSE))</f>
        <v>x</v>
      </c>
      <c r="G1346" s="9">
        <f t="shared" si="63"/>
        <v>1</v>
      </c>
      <c r="H1346" s="13">
        <f t="shared" si="64"/>
        <v>124.5</v>
      </c>
    </row>
    <row r="1347" spans="1:8" x14ac:dyDescent="0.25">
      <c r="A1347" s="2" t="str">
        <f>"MIN-25NW11S"</f>
        <v>MIN-25NW11S</v>
      </c>
      <c r="B1347" s="2" t="str">
        <f>"MIN Schienenstrahler,  CoB LED, 25W, 15°, 4000K, Gehäuse weiß"</f>
        <v>MIN Schienenstrahler,  CoB LED, 25W, 15°, 4000K, Gehäuse weiß</v>
      </c>
      <c r="C1347" s="16">
        <v>124.5</v>
      </c>
      <c r="D1347" s="11">
        <v>29</v>
      </c>
      <c r="E1347" s="7">
        <f t="shared" ref="E1347:E1410" si="65">G1347</f>
        <v>1</v>
      </c>
      <c r="F1347" s="22" t="str">
        <f>IF(ISERROR(VLOOKUP($A1347,#REF!,3,0)),"x",VLOOKUP($A1347,#REF!,3,FALSE))</f>
        <v>x</v>
      </c>
      <c r="G1347" s="9">
        <f t="shared" ref="G1347:G1410" si="66">IF(C1347&lt;F1347,1,IF(C1347&gt;F1347,-1,0))</f>
        <v>1</v>
      </c>
      <c r="H1347" s="13">
        <f t="shared" si="64"/>
        <v>124.5</v>
      </c>
    </row>
    <row r="1348" spans="1:8" x14ac:dyDescent="0.25">
      <c r="A1348" s="2" t="str">
        <f>"MIN-25NW12-60"</f>
        <v>MIN-25NW12-60</v>
      </c>
      <c r="B1348" s="2" t="str">
        <f>"MIN Schienenstrahler,  CoB LED, 25W, 60°, 4000K, Gehäuse schwarz"</f>
        <v>MIN Schienenstrahler,  CoB LED, 25W, 60°, 4000K, Gehäuse schwarz</v>
      </c>
      <c r="C1348" s="16">
        <v>124.5</v>
      </c>
      <c r="D1348" s="11">
        <v>29</v>
      </c>
      <c r="E1348" s="7">
        <f t="shared" si="65"/>
        <v>1</v>
      </c>
      <c r="F1348" s="22" t="str">
        <f>IF(ISERROR(VLOOKUP($A1348,#REF!,3,0)),"x",VLOOKUP($A1348,#REF!,3,FALSE))</f>
        <v>x</v>
      </c>
      <c r="G1348" s="9">
        <f t="shared" si="66"/>
        <v>1</v>
      </c>
      <c r="H1348" s="13">
        <f t="shared" si="64"/>
        <v>124.5</v>
      </c>
    </row>
    <row r="1349" spans="1:8" x14ac:dyDescent="0.25">
      <c r="A1349" s="2" t="str">
        <f>"MIN-25NW12F"</f>
        <v>MIN-25NW12F</v>
      </c>
      <c r="B1349" s="2" t="str">
        <f>"MIN Schienenstrahler,  CoB LED, 25W, 36°, 4000K, Gehäuse schwarz"</f>
        <v>MIN Schienenstrahler,  CoB LED, 25W, 36°, 4000K, Gehäuse schwarz</v>
      </c>
      <c r="C1349" s="16">
        <v>124.5</v>
      </c>
      <c r="D1349" s="11">
        <v>29</v>
      </c>
      <c r="E1349" s="7">
        <f t="shared" si="65"/>
        <v>1</v>
      </c>
      <c r="F1349" s="22" t="str">
        <f>IF(ISERROR(VLOOKUP($A1349,#REF!,3,0)),"x",VLOOKUP($A1349,#REF!,3,FALSE))</f>
        <v>x</v>
      </c>
      <c r="G1349" s="9">
        <f t="shared" si="66"/>
        <v>1</v>
      </c>
      <c r="H1349" s="13">
        <f t="shared" ref="H1349:H1412" si="67">IF(F1349="x",C1349,F1349)</f>
        <v>124.5</v>
      </c>
    </row>
    <row r="1350" spans="1:8" x14ac:dyDescent="0.25">
      <c r="A1350" s="2" t="str">
        <f>"MIN-25NW12S"</f>
        <v>MIN-25NW12S</v>
      </c>
      <c r="B1350" s="2" t="str">
        <f>"MIN Schienenstrahler,  CoB LED, 25W, 15°, 4000K, Gehäuse schwarz"</f>
        <v>MIN Schienenstrahler,  CoB LED, 25W, 15°, 4000K, Gehäuse schwarz</v>
      </c>
      <c r="C1350" s="16">
        <v>124.5</v>
      </c>
      <c r="D1350" s="11">
        <v>29</v>
      </c>
      <c r="E1350" s="7">
        <f t="shared" si="65"/>
        <v>1</v>
      </c>
      <c r="F1350" s="22" t="str">
        <f>IF(ISERROR(VLOOKUP($A1350,#REF!,3,0)),"x",VLOOKUP($A1350,#REF!,3,FALSE))</f>
        <v>x</v>
      </c>
      <c r="G1350" s="9">
        <f t="shared" si="66"/>
        <v>1</v>
      </c>
      <c r="H1350" s="13">
        <f t="shared" si="67"/>
        <v>124.5</v>
      </c>
    </row>
    <row r="1351" spans="1:8" x14ac:dyDescent="0.25">
      <c r="A1351" s="2" t="str">
        <f>"MIN-25SW11-60"</f>
        <v>MIN-25SW11-60</v>
      </c>
      <c r="B1351" s="2" t="str">
        <f>"MIN Schienenstrahler,  CoB LED, 25W, 60°, 2700K, Gehäuse weiß"</f>
        <v>MIN Schienenstrahler,  CoB LED, 25W, 60°, 2700K, Gehäuse weiß</v>
      </c>
      <c r="C1351" s="16">
        <v>124.5</v>
      </c>
      <c r="D1351" s="11">
        <v>29</v>
      </c>
      <c r="E1351" s="7">
        <f t="shared" si="65"/>
        <v>1</v>
      </c>
      <c r="F1351" s="22" t="str">
        <f>IF(ISERROR(VLOOKUP($A1351,#REF!,3,0)),"x",VLOOKUP($A1351,#REF!,3,FALSE))</f>
        <v>x</v>
      </c>
      <c r="G1351" s="9">
        <f t="shared" si="66"/>
        <v>1</v>
      </c>
      <c r="H1351" s="13">
        <f t="shared" si="67"/>
        <v>124.5</v>
      </c>
    </row>
    <row r="1352" spans="1:8" x14ac:dyDescent="0.25">
      <c r="A1352" s="2" t="str">
        <f>"MIN-25SW11F"</f>
        <v>MIN-25SW11F</v>
      </c>
      <c r="B1352" s="2" t="str">
        <f>"MIN Schienenstrahler,  CoB LED, 25W, 36°, 2700K, Gehäuse weiß"</f>
        <v>MIN Schienenstrahler,  CoB LED, 25W, 36°, 2700K, Gehäuse weiß</v>
      </c>
      <c r="C1352" s="16">
        <v>124.5</v>
      </c>
      <c r="D1352" s="11">
        <v>29</v>
      </c>
      <c r="E1352" s="7">
        <f t="shared" si="65"/>
        <v>1</v>
      </c>
      <c r="F1352" s="22" t="str">
        <f>IF(ISERROR(VLOOKUP($A1352,#REF!,3,0)),"x",VLOOKUP($A1352,#REF!,3,FALSE))</f>
        <v>x</v>
      </c>
      <c r="G1352" s="9">
        <f t="shared" si="66"/>
        <v>1</v>
      </c>
      <c r="H1352" s="13">
        <f t="shared" si="67"/>
        <v>124.5</v>
      </c>
    </row>
    <row r="1353" spans="1:8" x14ac:dyDescent="0.25">
      <c r="A1353" s="2" t="str">
        <f>"MIN-25SW11S"</f>
        <v>MIN-25SW11S</v>
      </c>
      <c r="B1353" s="2" t="str">
        <f>"MIN Schienenstrahler,  CoB LED, 25W, 15°, 2700K, Gehäuse weiß"</f>
        <v>MIN Schienenstrahler,  CoB LED, 25W, 15°, 2700K, Gehäuse weiß</v>
      </c>
      <c r="C1353" s="16">
        <v>124.5</v>
      </c>
      <c r="D1353" s="11">
        <v>29</v>
      </c>
      <c r="E1353" s="7">
        <f t="shared" si="65"/>
        <v>1</v>
      </c>
      <c r="F1353" s="22" t="str">
        <f>IF(ISERROR(VLOOKUP($A1353,#REF!,3,0)),"x",VLOOKUP($A1353,#REF!,3,FALSE))</f>
        <v>x</v>
      </c>
      <c r="G1353" s="9">
        <f t="shared" si="66"/>
        <v>1</v>
      </c>
      <c r="H1353" s="13">
        <f t="shared" si="67"/>
        <v>124.5</v>
      </c>
    </row>
    <row r="1354" spans="1:8" x14ac:dyDescent="0.25">
      <c r="A1354" s="2" t="str">
        <f>"MIN-25SW12-60"</f>
        <v>MIN-25SW12-60</v>
      </c>
      <c r="B1354" s="2" t="str">
        <f>"MIN Schienenstrahler,  CoB LED, 25W, 60°, 2700K, Gehäuse schwarz"</f>
        <v>MIN Schienenstrahler,  CoB LED, 25W, 60°, 2700K, Gehäuse schwarz</v>
      </c>
      <c r="C1354" s="16">
        <v>124.5</v>
      </c>
      <c r="D1354" s="11">
        <v>29</v>
      </c>
      <c r="E1354" s="7">
        <f t="shared" si="65"/>
        <v>1</v>
      </c>
      <c r="F1354" s="22" t="str">
        <f>IF(ISERROR(VLOOKUP($A1354,#REF!,3,0)),"x",VLOOKUP($A1354,#REF!,3,FALSE))</f>
        <v>x</v>
      </c>
      <c r="G1354" s="9">
        <f t="shared" si="66"/>
        <v>1</v>
      </c>
      <c r="H1354" s="13">
        <f t="shared" si="67"/>
        <v>124.5</v>
      </c>
    </row>
    <row r="1355" spans="1:8" x14ac:dyDescent="0.25">
      <c r="A1355" s="2" t="str">
        <f>"MIN-25SW12F"</f>
        <v>MIN-25SW12F</v>
      </c>
      <c r="B1355" s="2" t="str">
        <f>"MIN Schienenstrahler,  CoB LED, 25W, 36°, 2700K, Gehäuse schwarz"</f>
        <v>MIN Schienenstrahler,  CoB LED, 25W, 36°, 2700K, Gehäuse schwarz</v>
      </c>
      <c r="C1355" s="16">
        <v>124.5</v>
      </c>
      <c r="D1355" s="11">
        <v>29</v>
      </c>
      <c r="E1355" s="7">
        <f t="shared" si="65"/>
        <v>1</v>
      </c>
      <c r="F1355" s="22" t="str">
        <f>IF(ISERROR(VLOOKUP($A1355,#REF!,3,0)),"x",VLOOKUP($A1355,#REF!,3,FALSE))</f>
        <v>x</v>
      </c>
      <c r="G1355" s="9">
        <f t="shared" si="66"/>
        <v>1</v>
      </c>
      <c r="H1355" s="13">
        <f t="shared" si="67"/>
        <v>124.5</v>
      </c>
    </row>
    <row r="1356" spans="1:8" x14ac:dyDescent="0.25">
      <c r="A1356" s="2" t="str">
        <f>"MIN-25SW12S"</f>
        <v>MIN-25SW12S</v>
      </c>
      <c r="B1356" s="2" t="str">
        <f>"MIN Schienenstrahler,  CoB LED, 25W, 15°, 2700K, Gehäuse schwarz"</f>
        <v>MIN Schienenstrahler,  CoB LED, 25W, 15°, 2700K, Gehäuse schwarz</v>
      </c>
      <c r="C1356" s="16">
        <v>124.5</v>
      </c>
      <c r="D1356" s="11">
        <v>29</v>
      </c>
      <c r="E1356" s="7">
        <f t="shared" si="65"/>
        <v>1</v>
      </c>
      <c r="F1356" s="22" t="str">
        <f>IF(ISERROR(VLOOKUP($A1356,#REF!,3,0)),"x",VLOOKUP($A1356,#REF!,3,FALSE))</f>
        <v>x</v>
      </c>
      <c r="G1356" s="9">
        <f t="shared" si="66"/>
        <v>1</v>
      </c>
      <c r="H1356" s="13">
        <f t="shared" si="67"/>
        <v>124.5</v>
      </c>
    </row>
    <row r="1357" spans="1:8" x14ac:dyDescent="0.25">
      <c r="A1357" s="2" t="str">
        <f>"MIN-25WNW11-60"</f>
        <v>MIN-25WNW11-60</v>
      </c>
      <c r="B1357" s="2" t="str">
        <f>"MIN Schienenstrahler,  CoB LED, 25W, 60°, 3500K, Gehäuse weiß"</f>
        <v>MIN Schienenstrahler,  CoB LED, 25W, 60°, 3500K, Gehäuse weiß</v>
      </c>
      <c r="C1357" s="16">
        <v>124.5</v>
      </c>
      <c r="D1357" s="11">
        <v>29</v>
      </c>
      <c r="E1357" s="7">
        <f t="shared" si="65"/>
        <v>1</v>
      </c>
      <c r="F1357" s="22" t="str">
        <f>IF(ISERROR(VLOOKUP($A1357,#REF!,3,0)),"x",VLOOKUP($A1357,#REF!,3,FALSE))</f>
        <v>x</v>
      </c>
      <c r="G1357" s="9">
        <f t="shared" si="66"/>
        <v>1</v>
      </c>
      <c r="H1357" s="13">
        <f t="shared" si="67"/>
        <v>124.5</v>
      </c>
    </row>
    <row r="1358" spans="1:8" x14ac:dyDescent="0.25">
      <c r="A1358" s="2" t="str">
        <f>"MIN-25WNW11F"</f>
        <v>MIN-25WNW11F</v>
      </c>
      <c r="B1358" s="2" t="str">
        <f>"MIN Schienenstrahler,  CoB LED, 25W, 36°, 3500K, Gehäuse weiß"</f>
        <v>MIN Schienenstrahler,  CoB LED, 25W, 36°, 3500K, Gehäuse weiß</v>
      </c>
      <c r="C1358" s="16">
        <v>124.5</v>
      </c>
      <c r="D1358" s="11">
        <v>29</v>
      </c>
      <c r="E1358" s="7">
        <f t="shared" si="65"/>
        <v>1</v>
      </c>
      <c r="F1358" s="22" t="str">
        <f>IF(ISERROR(VLOOKUP($A1358,#REF!,3,0)),"x",VLOOKUP($A1358,#REF!,3,FALSE))</f>
        <v>x</v>
      </c>
      <c r="G1358" s="9">
        <f t="shared" si="66"/>
        <v>1</v>
      </c>
      <c r="H1358" s="13">
        <f t="shared" si="67"/>
        <v>124.5</v>
      </c>
    </row>
    <row r="1359" spans="1:8" x14ac:dyDescent="0.25">
      <c r="A1359" s="2" t="str">
        <f>"MIN-25WNW11S"</f>
        <v>MIN-25WNW11S</v>
      </c>
      <c r="B1359" s="2" t="str">
        <f>"MIN Schienenstrahler,  CoB LED, 25W, 15°, 3500K, Gehäuse weiß"</f>
        <v>MIN Schienenstrahler,  CoB LED, 25W, 15°, 3500K, Gehäuse weiß</v>
      </c>
      <c r="C1359" s="16">
        <v>124.5</v>
      </c>
      <c r="D1359" s="11">
        <v>29</v>
      </c>
      <c r="E1359" s="7">
        <f t="shared" si="65"/>
        <v>1</v>
      </c>
      <c r="F1359" s="22" t="str">
        <f>IF(ISERROR(VLOOKUP($A1359,#REF!,3,0)),"x",VLOOKUP($A1359,#REF!,3,FALSE))</f>
        <v>x</v>
      </c>
      <c r="G1359" s="9">
        <f t="shared" si="66"/>
        <v>1</v>
      </c>
      <c r="H1359" s="13">
        <f t="shared" si="67"/>
        <v>124.5</v>
      </c>
    </row>
    <row r="1360" spans="1:8" x14ac:dyDescent="0.25">
      <c r="A1360" s="2" t="str">
        <f>"MIN-25WNW12-60"</f>
        <v>MIN-25WNW12-60</v>
      </c>
      <c r="B1360" s="2" t="str">
        <f>"MIN Schienenstrahler,  CoB LED, 25W, 60°, 3500K, Gehäuse schwarz"</f>
        <v>MIN Schienenstrahler,  CoB LED, 25W, 60°, 3500K, Gehäuse schwarz</v>
      </c>
      <c r="C1360" s="16">
        <v>124.5</v>
      </c>
      <c r="D1360" s="11">
        <v>29</v>
      </c>
      <c r="E1360" s="7">
        <f t="shared" si="65"/>
        <v>1</v>
      </c>
      <c r="F1360" s="22" t="str">
        <f>IF(ISERROR(VLOOKUP($A1360,#REF!,3,0)),"x",VLOOKUP($A1360,#REF!,3,FALSE))</f>
        <v>x</v>
      </c>
      <c r="G1360" s="9">
        <f t="shared" si="66"/>
        <v>1</v>
      </c>
      <c r="H1360" s="13">
        <f t="shared" si="67"/>
        <v>124.5</v>
      </c>
    </row>
    <row r="1361" spans="1:8" x14ac:dyDescent="0.25">
      <c r="A1361" s="2" t="str">
        <f>"MIN-25WNW12F"</f>
        <v>MIN-25WNW12F</v>
      </c>
      <c r="B1361" s="2" t="str">
        <f>"MIN Schienenstrahler,  CoB LED, 25W, 36°, 3500K, Gehäuse schwarz"</f>
        <v>MIN Schienenstrahler,  CoB LED, 25W, 36°, 3500K, Gehäuse schwarz</v>
      </c>
      <c r="C1361" s="16">
        <v>124.5</v>
      </c>
      <c r="D1361" s="11">
        <v>29</v>
      </c>
      <c r="E1361" s="7">
        <f t="shared" si="65"/>
        <v>1</v>
      </c>
      <c r="F1361" s="22" t="str">
        <f>IF(ISERROR(VLOOKUP($A1361,#REF!,3,0)),"x",VLOOKUP($A1361,#REF!,3,FALSE))</f>
        <v>x</v>
      </c>
      <c r="G1361" s="9">
        <f t="shared" si="66"/>
        <v>1</v>
      </c>
      <c r="H1361" s="13">
        <f t="shared" si="67"/>
        <v>124.5</v>
      </c>
    </row>
    <row r="1362" spans="1:8" x14ac:dyDescent="0.25">
      <c r="A1362" s="2" t="str">
        <f>"MIN-25WNW12S"</f>
        <v>MIN-25WNW12S</v>
      </c>
      <c r="B1362" s="2" t="str">
        <f>"MIN Schienenstrahler,  CoB LED, 25W, 15°, 3500K, Gehäuse schwarz"</f>
        <v>MIN Schienenstrahler,  CoB LED, 25W, 15°, 3500K, Gehäuse schwarz</v>
      </c>
      <c r="C1362" s="16">
        <v>124.5</v>
      </c>
      <c r="D1362" s="11">
        <v>29</v>
      </c>
      <c r="E1362" s="7">
        <f t="shared" si="65"/>
        <v>1</v>
      </c>
      <c r="F1362" s="22" t="str">
        <f>IF(ISERROR(VLOOKUP($A1362,#REF!,3,0)),"x",VLOOKUP($A1362,#REF!,3,FALSE))</f>
        <v>x</v>
      </c>
      <c r="G1362" s="9">
        <f t="shared" si="66"/>
        <v>1</v>
      </c>
      <c r="H1362" s="13">
        <f t="shared" si="67"/>
        <v>124.5</v>
      </c>
    </row>
    <row r="1363" spans="1:8" x14ac:dyDescent="0.25">
      <c r="A1363" s="2" t="str">
        <f>"MIN-25WW11-60"</f>
        <v>MIN-25WW11-60</v>
      </c>
      <c r="B1363" s="2" t="str">
        <f>"MIN Schienenstrahler,  CoB LED, 25W, 60°, 3000K, Gehäuse weiß"</f>
        <v>MIN Schienenstrahler,  CoB LED, 25W, 60°, 3000K, Gehäuse weiß</v>
      </c>
      <c r="C1363" s="16">
        <v>124.5</v>
      </c>
      <c r="D1363" s="11">
        <v>29</v>
      </c>
      <c r="E1363" s="7">
        <f t="shared" si="65"/>
        <v>1</v>
      </c>
      <c r="F1363" s="22" t="str">
        <f>IF(ISERROR(VLOOKUP($A1363,#REF!,3,0)),"x",VLOOKUP($A1363,#REF!,3,FALSE))</f>
        <v>x</v>
      </c>
      <c r="G1363" s="9">
        <f t="shared" si="66"/>
        <v>1</v>
      </c>
      <c r="H1363" s="13">
        <f t="shared" si="67"/>
        <v>124.5</v>
      </c>
    </row>
    <row r="1364" spans="1:8" x14ac:dyDescent="0.25">
      <c r="A1364" s="2" t="str">
        <f>"MIN-25WW11F"</f>
        <v>MIN-25WW11F</v>
      </c>
      <c r="B1364" s="2" t="str">
        <f>"MIN Schienenstrahler,  CoB LED, 25W, 36°, 3000K, Gehäuse weiß"</f>
        <v>MIN Schienenstrahler,  CoB LED, 25W, 36°, 3000K, Gehäuse weiß</v>
      </c>
      <c r="C1364" s="16">
        <v>124.5</v>
      </c>
      <c r="D1364" s="11">
        <v>29</v>
      </c>
      <c r="E1364" s="7">
        <f t="shared" si="65"/>
        <v>1</v>
      </c>
      <c r="F1364" s="22" t="str">
        <f>IF(ISERROR(VLOOKUP($A1364,#REF!,3,0)),"x",VLOOKUP($A1364,#REF!,3,FALSE))</f>
        <v>x</v>
      </c>
      <c r="G1364" s="9">
        <f t="shared" si="66"/>
        <v>1</v>
      </c>
      <c r="H1364" s="13">
        <f t="shared" si="67"/>
        <v>124.5</v>
      </c>
    </row>
    <row r="1365" spans="1:8" x14ac:dyDescent="0.25">
      <c r="A1365" s="2" t="str">
        <f>"MIN-25WW11S"</f>
        <v>MIN-25WW11S</v>
      </c>
      <c r="B1365" s="2" t="str">
        <f>"MIN Schienenstrahler,  CoB LED, 25W, 15°, 3000K, Gehäuse weiß"</f>
        <v>MIN Schienenstrahler,  CoB LED, 25W, 15°, 3000K, Gehäuse weiß</v>
      </c>
      <c r="C1365" s="16">
        <v>124.5</v>
      </c>
      <c r="D1365" s="11">
        <v>29</v>
      </c>
      <c r="E1365" s="7">
        <f t="shared" si="65"/>
        <v>1</v>
      </c>
      <c r="F1365" s="22" t="str">
        <f>IF(ISERROR(VLOOKUP($A1365,#REF!,3,0)),"x",VLOOKUP($A1365,#REF!,3,FALSE))</f>
        <v>x</v>
      </c>
      <c r="G1365" s="9">
        <f t="shared" si="66"/>
        <v>1</v>
      </c>
      <c r="H1365" s="13">
        <f t="shared" si="67"/>
        <v>124.5</v>
      </c>
    </row>
    <row r="1366" spans="1:8" x14ac:dyDescent="0.25">
      <c r="A1366" s="2" t="str">
        <f>"MIN-25WW12-60"</f>
        <v>MIN-25WW12-60</v>
      </c>
      <c r="B1366" s="2" t="str">
        <f>"MIN Schienenstrahler,  CoB LED, 25W, 60°, 3000K, Gehäuse schwarz"</f>
        <v>MIN Schienenstrahler,  CoB LED, 25W, 60°, 3000K, Gehäuse schwarz</v>
      </c>
      <c r="C1366" s="16">
        <v>124.5</v>
      </c>
      <c r="D1366" s="11">
        <v>29</v>
      </c>
      <c r="E1366" s="7">
        <f t="shared" si="65"/>
        <v>1</v>
      </c>
      <c r="F1366" s="22" t="str">
        <f>IF(ISERROR(VLOOKUP($A1366,#REF!,3,0)),"x",VLOOKUP($A1366,#REF!,3,FALSE))</f>
        <v>x</v>
      </c>
      <c r="G1366" s="9">
        <f t="shared" si="66"/>
        <v>1</v>
      </c>
      <c r="H1366" s="13">
        <f t="shared" si="67"/>
        <v>124.5</v>
      </c>
    </row>
    <row r="1367" spans="1:8" x14ac:dyDescent="0.25">
      <c r="A1367" s="2" t="str">
        <f>"MIN-25WW12F"</f>
        <v>MIN-25WW12F</v>
      </c>
      <c r="B1367" s="2" t="str">
        <f>"MIN Schienenstrahler,  CoB LED, 25W, 36°, 3000K, Gehäuse schwarz"</f>
        <v>MIN Schienenstrahler,  CoB LED, 25W, 36°, 3000K, Gehäuse schwarz</v>
      </c>
      <c r="C1367" s="16">
        <v>124.5</v>
      </c>
      <c r="D1367" s="11">
        <v>29</v>
      </c>
      <c r="E1367" s="7">
        <f t="shared" si="65"/>
        <v>1</v>
      </c>
      <c r="F1367" s="22" t="str">
        <f>IF(ISERROR(VLOOKUP($A1367,#REF!,3,0)),"x",VLOOKUP($A1367,#REF!,3,FALSE))</f>
        <v>x</v>
      </c>
      <c r="G1367" s="9">
        <f t="shared" si="66"/>
        <v>1</v>
      </c>
      <c r="H1367" s="13">
        <f t="shared" si="67"/>
        <v>124.5</v>
      </c>
    </row>
    <row r="1368" spans="1:8" x14ac:dyDescent="0.25">
      <c r="A1368" s="2" t="str">
        <f>"MIN-25WW12S"</f>
        <v>MIN-25WW12S</v>
      </c>
      <c r="B1368" s="2" t="str">
        <f>"MIN Schienenstrahler,  CoB LED, 25W, 15°, 3000K, Gehäuse schwarz"</f>
        <v>MIN Schienenstrahler,  CoB LED, 25W, 15°, 3000K, Gehäuse schwarz</v>
      </c>
      <c r="C1368" s="16">
        <v>124.5</v>
      </c>
      <c r="D1368" s="11">
        <v>29</v>
      </c>
      <c r="E1368" s="7">
        <f t="shared" si="65"/>
        <v>1</v>
      </c>
      <c r="F1368" s="22" t="str">
        <f>IF(ISERROR(VLOOKUP($A1368,#REF!,3,0)),"x",VLOOKUP($A1368,#REF!,3,FALSE))</f>
        <v>x</v>
      </c>
      <c r="G1368" s="9">
        <f t="shared" si="66"/>
        <v>1</v>
      </c>
      <c r="H1368" s="13">
        <f t="shared" si="67"/>
        <v>124.5</v>
      </c>
    </row>
    <row r="1369" spans="1:8" x14ac:dyDescent="0.25">
      <c r="A1369" s="2" t="str">
        <f>"MIN-32NW11-60"</f>
        <v>MIN-32NW11-60</v>
      </c>
      <c r="B1369" s="2" t="str">
        <f>"MIN Schienenstrahler,  CoB LED, 32W, 60°, 4000K, Gehäuse weiß"</f>
        <v>MIN Schienenstrahler,  CoB LED, 32W, 60°, 4000K, Gehäuse weiß</v>
      </c>
      <c r="C1369" s="16">
        <v>124.5</v>
      </c>
      <c r="D1369" s="11">
        <v>29</v>
      </c>
      <c r="E1369" s="7">
        <f t="shared" si="65"/>
        <v>1</v>
      </c>
      <c r="F1369" s="22" t="str">
        <f>IF(ISERROR(VLOOKUP($A1369,#REF!,3,0)),"x",VLOOKUP($A1369,#REF!,3,FALSE))</f>
        <v>x</v>
      </c>
      <c r="G1369" s="9">
        <f t="shared" si="66"/>
        <v>1</v>
      </c>
      <c r="H1369" s="13">
        <f t="shared" si="67"/>
        <v>124.5</v>
      </c>
    </row>
    <row r="1370" spans="1:8" x14ac:dyDescent="0.25">
      <c r="A1370" s="2" t="str">
        <f>"MIN-32NW11F"</f>
        <v>MIN-32NW11F</v>
      </c>
      <c r="B1370" s="2" t="str">
        <f>"MIN Schienenstrahler,  CoB LED, 32W, 36°, 4000K, Gehäuse weiß"</f>
        <v>MIN Schienenstrahler,  CoB LED, 32W, 36°, 4000K, Gehäuse weiß</v>
      </c>
      <c r="C1370" s="16">
        <v>124.5</v>
      </c>
      <c r="D1370" s="11">
        <v>29</v>
      </c>
      <c r="E1370" s="7">
        <f t="shared" si="65"/>
        <v>1</v>
      </c>
      <c r="F1370" s="22" t="str">
        <f>IF(ISERROR(VLOOKUP($A1370,#REF!,3,0)),"x",VLOOKUP($A1370,#REF!,3,FALSE))</f>
        <v>x</v>
      </c>
      <c r="G1370" s="9">
        <f t="shared" si="66"/>
        <v>1</v>
      </c>
      <c r="H1370" s="13">
        <f t="shared" si="67"/>
        <v>124.5</v>
      </c>
    </row>
    <row r="1371" spans="1:8" x14ac:dyDescent="0.25">
      <c r="A1371" s="2" t="str">
        <f>"MIN-32NW11S"</f>
        <v>MIN-32NW11S</v>
      </c>
      <c r="B1371" s="2" t="str">
        <f>"MIN Schienenstrahler,  CoB LED, 32W, 15°, 4000K, Gehäuse weiß"</f>
        <v>MIN Schienenstrahler,  CoB LED, 32W, 15°, 4000K, Gehäuse weiß</v>
      </c>
      <c r="C1371" s="16">
        <v>124.5</v>
      </c>
      <c r="D1371" s="11">
        <v>29</v>
      </c>
      <c r="E1371" s="7">
        <f t="shared" si="65"/>
        <v>1</v>
      </c>
      <c r="F1371" s="22" t="str">
        <f>IF(ISERROR(VLOOKUP($A1371,#REF!,3,0)),"x",VLOOKUP($A1371,#REF!,3,FALSE))</f>
        <v>x</v>
      </c>
      <c r="G1371" s="9">
        <f t="shared" si="66"/>
        <v>1</v>
      </c>
      <c r="H1371" s="13">
        <f t="shared" si="67"/>
        <v>124.5</v>
      </c>
    </row>
    <row r="1372" spans="1:8" x14ac:dyDescent="0.25">
      <c r="A1372" s="2" t="str">
        <f>"MIN-32NW12-60"</f>
        <v>MIN-32NW12-60</v>
      </c>
      <c r="B1372" s="2" t="str">
        <f>"MIN Schienenstrahler,  CoB LED, 32W, 60°, 4000K, Gehäuse schwarz"</f>
        <v>MIN Schienenstrahler,  CoB LED, 32W, 60°, 4000K, Gehäuse schwarz</v>
      </c>
      <c r="C1372" s="16">
        <v>124.5</v>
      </c>
      <c r="D1372" s="11">
        <v>29</v>
      </c>
      <c r="E1372" s="7">
        <f t="shared" si="65"/>
        <v>1</v>
      </c>
      <c r="F1372" s="22" t="str">
        <f>IF(ISERROR(VLOOKUP($A1372,#REF!,3,0)),"x",VLOOKUP($A1372,#REF!,3,FALSE))</f>
        <v>x</v>
      </c>
      <c r="G1372" s="9">
        <f t="shared" si="66"/>
        <v>1</v>
      </c>
      <c r="H1372" s="13">
        <f t="shared" si="67"/>
        <v>124.5</v>
      </c>
    </row>
    <row r="1373" spans="1:8" x14ac:dyDescent="0.25">
      <c r="A1373" s="2" t="str">
        <f>"MIN-32NW12F"</f>
        <v>MIN-32NW12F</v>
      </c>
      <c r="B1373" s="2" t="str">
        <f>"MIN Schienenstrahler,  CoB LED, 32W, 36°, 4000K, Gehäuse schwarz"</f>
        <v>MIN Schienenstrahler,  CoB LED, 32W, 36°, 4000K, Gehäuse schwarz</v>
      </c>
      <c r="C1373" s="16">
        <v>124.5</v>
      </c>
      <c r="D1373" s="11">
        <v>29</v>
      </c>
      <c r="E1373" s="7">
        <f t="shared" si="65"/>
        <v>1</v>
      </c>
      <c r="F1373" s="22" t="str">
        <f>IF(ISERROR(VLOOKUP($A1373,#REF!,3,0)),"x",VLOOKUP($A1373,#REF!,3,FALSE))</f>
        <v>x</v>
      </c>
      <c r="G1373" s="9">
        <f t="shared" si="66"/>
        <v>1</v>
      </c>
      <c r="H1373" s="13">
        <f t="shared" si="67"/>
        <v>124.5</v>
      </c>
    </row>
    <row r="1374" spans="1:8" x14ac:dyDescent="0.25">
      <c r="A1374" s="2" t="str">
        <f>"MIN-32NW12S"</f>
        <v>MIN-32NW12S</v>
      </c>
      <c r="B1374" s="2" t="str">
        <f>"MIN Schienenstrahler,  CoB LED, 32W, 15°, 4000K, Gehäuse schwarz"</f>
        <v>MIN Schienenstrahler,  CoB LED, 32W, 15°, 4000K, Gehäuse schwarz</v>
      </c>
      <c r="C1374" s="16">
        <v>124.5</v>
      </c>
      <c r="D1374" s="11">
        <v>29</v>
      </c>
      <c r="E1374" s="7">
        <f t="shared" si="65"/>
        <v>1</v>
      </c>
      <c r="F1374" s="22" t="str">
        <f>IF(ISERROR(VLOOKUP($A1374,#REF!,3,0)),"x",VLOOKUP($A1374,#REF!,3,FALSE))</f>
        <v>x</v>
      </c>
      <c r="G1374" s="9">
        <f t="shared" si="66"/>
        <v>1</v>
      </c>
      <c r="H1374" s="13">
        <f t="shared" si="67"/>
        <v>124.5</v>
      </c>
    </row>
    <row r="1375" spans="1:8" x14ac:dyDescent="0.25">
      <c r="A1375" s="2" t="str">
        <f>"MIN-32SW11-60"</f>
        <v>MIN-32SW11-60</v>
      </c>
      <c r="B1375" s="2" t="str">
        <f>"MIN Schienenstrahler,  CoB LED, 32W, 60°, 2700K, Gehäuse weiß"</f>
        <v>MIN Schienenstrahler,  CoB LED, 32W, 60°, 2700K, Gehäuse weiß</v>
      </c>
      <c r="C1375" s="16">
        <v>124.5</v>
      </c>
      <c r="D1375" s="11">
        <v>29</v>
      </c>
      <c r="E1375" s="7">
        <f t="shared" si="65"/>
        <v>1</v>
      </c>
      <c r="F1375" s="22" t="str">
        <f>IF(ISERROR(VLOOKUP($A1375,#REF!,3,0)),"x",VLOOKUP($A1375,#REF!,3,FALSE))</f>
        <v>x</v>
      </c>
      <c r="G1375" s="9">
        <f t="shared" si="66"/>
        <v>1</v>
      </c>
      <c r="H1375" s="13">
        <f t="shared" si="67"/>
        <v>124.5</v>
      </c>
    </row>
    <row r="1376" spans="1:8" x14ac:dyDescent="0.25">
      <c r="A1376" s="2" t="str">
        <f>"MIN-32SW11F"</f>
        <v>MIN-32SW11F</v>
      </c>
      <c r="B1376" s="2" t="str">
        <f>"MIN Schienenstrahler,  CoB LED, 32W, 36°, 2700K, Gehäuse weiß"</f>
        <v>MIN Schienenstrahler,  CoB LED, 32W, 36°, 2700K, Gehäuse weiß</v>
      </c>
      <c r="C1376" s="16">
        <v>124.5</v>
      </c>
      <c r="D1376" s="11">
        <v>29</v>
      </c>
      <c r="E1376" s="7">
        <f t="shared" si="65"/>
        <v>1</v>
      </c>
      <c r="F1376" s="22" t="str">
        <f>IF(ISERROR(VLOOKUP($A1376,#REF!,3,0)),"x",VLOOKUP($A1376,#REF!,3,FALSE))</f>
        <v>x</v>
      </c>
      <c r="G1376" s="9">
        <f t="shared" si="66"/>
        <v>1</v>
      </c>
      <c r="H1376" s="13">
        <f t="shared" si="67"/>
        <v>124.5</v>
      </c>
    </row>
    <row r="1377" spans="1:8" x14ac:dyDescent="0.25">
      <c r="A1377" s="2" t="str">
        <f>"MIN-32SW11S"</f>
        <v>MIN-32SW11S</v>
      </c>
      <c r="B1377" s="2" t="str">
        <f>"MIN Schienenstrahler,  CoB LED, 32W, 15°, 2700K, Gehäuse weiß"</f>
        <v>MIN Schienenstrahler,  CoB LED, 32W, 15°, 2700K, Gehäuse weiß</v>
      </c>
      <c r="C1377" s="16">
        <v>124.5</v>
      </c>
      <c r="D1377" s="11">
        <v>29</v>
      </c>
      <c r="E1377" s="7">
        <f t="shared" si="65"/>
        <v>1</v>
      </c>
      <c r="F1377" s="22" t="str">
        <f>IF(ISERROR(VLOOKUP($A1377,#REF!,3,0)),"x",VLOOKUP($A1377,#REF!,3,FALSE))</f>
        <v>x</v>
      </c>
      <c r="G1377" s="9">
        <f t="shared" si="66"/>
        <v>1</v>
      </c>
      <c r="H1377" s="13">
        <f t="shared" si="67"/>
        <v>124.5</v>
      </c>
    </row>
    <row r="1378" spans="1:8" x14ac:dyDescent="0.25">
      <c r="A1378" s="2" t="str">
        <f>"MIN-32SW12-60"</f>
        <v>MIN-32SW12-60</v>
      </c>
      <c r="B1378" s="2" t="str">
        <f>"MIN Schienenstrahler,  CoB LED, 32W, 60°, 2700K, Gehäuse schwarz"</f>
        <v>MIN Schienenstrahler,  CoB LED, 32W, 60°, 2700K, Gehäuse schwarz</v>
      </c>
      <c r="C1378" s="16">
        <v>124.5</v>
      </c>
      <c r="D1378" s="11">
        <v>29</v>
      </c>
      <c r="E1378" s="7">
        <f t="shared" si="65"/>
        <v>1</v>
      </c>
      <c r="F1378" s="22" t="str">
        <f>IF(ISERROR(VLOOKUP($A1378,#REF!,3,0)),"x",VLOOKUP($A1378,#REF!,3,FALSE))</f>
        <v>x</v>
      </c>
      <c r="G1378" s="9">
        <f t="shared" si="66"/>
        <v>1</v>
      </c>
      <c r="H1378" s="13">
        <f t="shared" si="67"/>
        <v>124.5</v>
      </c>
    </row>
    <row r="1379" spans="1:8" x14ac:dyDescent="0.25">
      <c r="A1379" s="2" t="str">
        <f>"MIN-32SW12F"</f>
        <v>MIN-32SW12F</v>
      </c>
      <c r="B1379" s="2" t="str">
        <f>"MIN Schienenstrahler,  CoB LED, 32W, 36°, 2700K, Gehäuse schwarz"</f>
        <v>MIN Schienenstrahler,  CoB LED, 32W, 36°, 2700K, Gehäuse schwarz</v>
      </c>
      <c r="C1379" s="16">
        <v>124.5</v>
      </c>
      <c r="D1379" s="11">
        <v>29</v>
      </c>
      <c r="E1379" s="7">
        <f t="shared" si="65"/>
        <v>1</v>
      </c>
      <c r="F1379" s="22" t="str">
        <f>IF(ISERROR(VLOOKUP($A1379,#REF!,3,0)),"x",VLOOKUP($A1379,#REF!,3,FALSE))</f>
        <v>x</v>
      </c>
      <c r="G1379" s="9">
        <f t="shared" si="66"/>
        <v>1</v>
      </c>
      <c r="H1379" s="13">
        <f t="shared" si="67"/>
        <v>124.5</v>
      </c>
    </row>
    <row r="1380" spans="1:8" x14ac:dyDescent="0.25">
      <c r="A1380" s="2" t="str">
        <f>"MIN-32SW12S"</f>
        <v>MIN-32SW12S</v>
      </c>
      <c r="B1380" s="2" t="str">
        <f>"MIN Schienenstrahler,  CoB LED, 32W, 15°, 2700K, Gehäuse schwarz"</f>
        <v>MIN Schienenstrahler,  CoB LED, 32W, 15°, 2700K, Gehäuse schwarz</v>
      </c>
      <c r="C1380" s="16">
        <v>124.5</v>
      </c>
      <c r="D1380" s="11">
        <v>29</v>
      </c>
      <c r="E1380" s="7">
        <f t="shared" si="65"/>
        <v>1</v>
      </c>
      <c r="F1380" s="22" t="str">
        <f>IF(ISERROR(VLOOKUP($A1380,#REF!,3,0)),"x",VLOOKUP($A1380,#REF!,3,FALSE))</f>
        <v>x</v>
      </c>
      <c r="G1380" s="9">
        <f t="shared" si="66"/>
        <v>1</v>
      </c>
      <c r="H1380" s="13">
        <f t="shared" si="67"/>
        <v>124.5</v>
      </c>
    </row>
    <row r="1381" spans="1:8" x14ac:dyDescent="0.25">
      <c r="A1381" s="2" t="str">
        <f>"MIN-32WNW11-60"</f>
        <v>MIN-32WNW11-60</v>
      </c>
      <c r="B1381" s="2" t="str">
        <f>"MIN Schienenstrahler,  CoB LED, 32W, 60°, 3500K, Gehäuse weiß"</f>
        <v>MIN Schienenstrahler,  CoB LED, 32W, 60°, 3500K, Gehäuse weiß</v>
      </c>
      <c r="C1381" s="16">
        <v>124.5</v>
      </c>
      <c r="D1381" s="11">
        <v>29</v>
      </c>
      <c r="E1381" s="7">
        <f t="shared" si="65"/>
        <v>1</v>
      </c>
      <c r="F1381" s="22" t="str">
        <f>IF(ISERROR(VLOOKUP($A1381,#REF!,3,0)),"x",VLOOKUP($A1381,#REF!,3,FALSE))</f>
        <v>x</v>
      </c>
      <c r="G1381" s="9">
        <f t="shared" si="66"/>
        <v>1</v>
      </c>
      <c r="H1381" s="13">
        <f t="shared" si="67"/>
        <v>124.5</v>
      </c>
    </row>
    <row r="1382" spans="1:8" x14ac:dyDescent="0.25">
      <c r="A1382" s="2" t="str">
        <f>"MIN-32WNW11F"</f>
        <v>MIN-32WNW11F</v>
      </c>
      <c r="B1382" s="2" t="str">
        <f>"MIN Schienenstrahler,  CoB LED, 32W, 36°, 3500K, Gehäuse weiß"</f>
        <v>MIN Schienenstrahler,  CoB LED, 32W, 36°, 3500K, Gehäuse weiß</v>
      </c>
      <c r="C1382" s="16">
        <v>124.5</v>
      </c>
      <c r="D1382" s="11">
        <v>29</v>
      </c>
      <c r="E1382" s="7">
        <f t="shared" si="65"/>
        <v>1</v>
      </c>
      <c r="F1382" s="22" t="str">
        <f>IF(ISERROR(VLOOKUP($A1382,#REF!,3,0)),"x",VLOOKUP($A1382,#REF!,3,FALSE))</f>
        <v>x</v>
      </c>
      <c r="G1382" s="9">
        <f t="shared" si="66"/>
        <v>1</v>
      </c>
      <c r="H1382" s="13">
        <f t="shared" si="67"/>
        <v>124.5</v>
      </c>
    </row>
    <row r="1383" spans="1:8" x14ac:dyDescent="0.25">
      <c r="A1383" s="2" t="str">
        <f>"MIN-32WNW11S"</f>
        <v>MIN-32WNW11S</v>
      </c>
      <c r="B1383" s="2" t="str">
        <f>"MIN Schienenstrahler,  CoB LED, 32W, 15°, 3500K, Gehäuse weiß"</f>
        <v>MIN Schienenstrahler,  CoB LED, 32W, 15°, 3500K, Gehäuse weiß</v>
      </c>
      <c r="C1383" s="16">
        <v>124.5</v>
      </c>
      <c r="D1383" s="11">
        <v>29</v>
      </c>
      <c r="E1383" s="7">
        <f t="shared" si="65"/>
        <v>1</v>
      </c>
      <c r="F1383" s="22" t="str">
        <f>IF(ISERROR(VLOOKUP($A1383,#REF!,3,0)),"x",VLOOKUP($A1383,#REF!,3,FALSE))</f>
        <v>x</v>
      </c>
      <c r="G1383" s="9">
        <f t="shared" si="66"/>
        <v>1</v>
      </c>
      <c r="H1383" s="13">
        <f t="shared" si="67"/>
        <v>124.5</v>
      </c>
    </row>
    <row r="1384" spans="1:8" x14ac:dyDescent="0.25">
      <c r="A1384" s="2" t="str">
        <f>"MIN-32WNW12-60"</f>
        <v>MIN-32WNW12-60</v>
      </c>
      <c r="B1384" s="2" t="str">
        <f>"MIN Schienenstrahler,  CoB LED, 32W, 60°, 3500K, Gehäuse schwarz"</f>
        <v>MIN Schienenstrahler,  CoB LED, 32W, 60°, 3500K, Gehäuse schwarz</v>
      </c>
      <c r="C1384" s="16">
        <v>124.5</v>
      </c>
      <c r="D1384" s="11">
        <v>29</v>
      </c>
      <c r="E1384" s="7">
        <f t="shared" si="65"/>
        <v>1</v>
      </c>
      <c r="F1384" s="22" t="str">
        <f>IF(ISERROR(VLOOKUP($A1384,#REF!,3,0)),"x",VLOOKUP($A1384,#REF!,3,FALSE))</f>
        <v>x</v>
      </c>
      <c r="G1384" s="9">
        <f t="shared" si="66"/>
        <v>1</v>
      </c>
      <c r="H1384" s="13">
        <f t="shared" si="67"/>
        <v>124.5</v>
      </c>
    </row>
    <row r="1385" spans="1:8" x14ac:dyDescent="0.25">
      <c r="A1385" s="2" t="str">
        <f>"MIN-32WNW12F"</f>
        <v>MIN-32WNW12F</v>
      </c>
      <c r="B1385" s="2" t="str">
        <f>"MIN Schienenstrahler,  CoB LED, 32W, 36°, 3500K, Gehäuse schwarz"</f>
        <v>MIN Schienenstrahler,  CoB LED, 32W, 36°, 3500K, Gehäuse schwarz</v>
      </c>
      <c r="C1385" s="16">
        <v>124.5</v>
      </c>
      <c r="D1385" s="11">
        <v>29</v>
      </c>
      <c r="E1385" s="7">
        <f t="shared" si="65"/>
        <v>1</v>
      </c>
      <c r="F1385" s="22" t="str">
        <f>IF(ISERROR(VLOOKUP($A1385,#REF!,3,0)),"x",VLOOKUP($A1385,#REF!,3,FALSE))</f>
        <v>x</v>
      </c>
      <c r="G1385" s="9">
        <f t="shared" si="66"/>
        <v>1</v>
      </c>
      <c r="H1385" s="13">
        <f t="shared" si="67"/>
        <v>124.5</v>
      </c>
    </row>
    <row r="1386" spans="1:8" x14ac:dyDescent="0.25">
      <c r="A1386" s="2" t="str">
        <f>"MIN-32WNW12S"</f>
        <v>MIN-32WNW12S</v>
      </c>
      <c r="B1386" s="2" t="str">
        <f>"MIN Schienenstrahler,  CoB LED, 32W, 15°, 3500K, Gehäuse schwarz"</f>
        <v>MIN Schienenstrahler,  CoB LED, 32W, 15°, 3500K, Gehäuse schwarz</v>
      </c>
      <c r="C1386" s="16">
        <v>124.5</v>
      </c>
      <c r="D1386" s="11">
        <v>29</v>
      </c>
      <c r="E1386" s="7">
        <f t="shared" si="65"/>
        <v>1</v>
      </c>
      <c r="F1386" s="22" t="str">
        <f>IF(ISERROR(VLOOKUP($A1386,#REF!,3,0)),"x",VLOOKUP($A1386,#REF!,3,FALSE))</f>
        <v>x</v>
      </c>
      <c r="G1386" s="9">
        <f t="shared" si="66"/>
        <v>1</v>
      </c>
      <c r="H1386" s="13">
        <f t="shared" si="67"/>
        <v>124.5</v>
      </c>
    </row>
    <row r="1387" spans="1:8" x14ac:dyDescent="0.25">
      <c r="A1387" s="2" t="str">
        <f>"MIN-32WW11-60"</f>
        <v>MIN-32WW11-60</v>
      </c>
      <c r="B1387" s="2" t="str">
        <f>"MIN Schienenstrahler,  CoB LED, 32W, 60°, 3000K, Gehäuse weiß"</f>
        <v>MIN Schienenstrahler,  CoB LED, 32W, 60°, 3000K, Gehäuse weiß</v>
      </c>
      <c r="C1387" s="16">
        <v>124.5</v>
      </c>
      <c r="D1387" s="11">
        <v>29</v>
      </c>
      <c r="E1387" s="7">
        <f t="shared" si="65"/>
        <v>1</v>
      </c>
      <c r="F1387" s="22" t="str">
        <f>IF(ISERROR(VLOOKUP($A1387,#REF!,3,0)),"x",VLOOKUP($A1387,#REF!,3,FALSE))</f>
        <v>x</v>
      </c>
      <c r="G1387" s="9">
        <f t="shared" si="66"/>
        <v>1</v>
      </c>
      <c r="H1387" s="13">
        <f t="shared" si="67"/>
        <v>124.5</v>
      </c>
    </row>
    <row r="1388" spans="1:8" x14ac:dyDescent="0.25">
      <c r="A1388" s="2" t="str">
        <f>"MIN-32WW11F"</f>
        <v>MIN-32WW11F</v>
      </c>
      <c r="B1388" s="2" t="str">
        <f>"MIN Schienenstrahler,  CoB LED, 32W, 36°, 3000K, Gehäuse weiß"</f>
        <v>MIN Schienenstrahler,  CoB LED, 32W, 36°, 3000K, Gehäuse weiß</v>
      </c>
      <c r="C1388" s="16">
        <v>124.5</v>
      </c>
      <c r="D1388" s="11">
        <v>29</v>
      </c>
      <c r="E1388" s="7">
        <f t="shared" si="65"/>
        <v>1</v>
      </c>
      <c r="F1388" s="22" t="str">
        <f>IF(ISERROR(VLOOKUP($A1388,#REF!,3,0)),"x",VLOOKUP($A1388,#REF!,3,FALSE))</f>
        <v>x</v>
      </c>
      <c r="G1388" s="9">
        <f t="shared" si="66"/>
        <v>1</v>
      </c>
      <c r="H1388" s="13">
        <f t="shared" si="67"/>
        <v>124.5</v>
      </c>
    </row>
    <row r="1389" spans="1:8" x14ac:dyDescent="0.25">
      <c r="A1389" s="2" t="str">
        <f>"MIN-32WW11S"</f>
        <v>MIN-32WW11S</v>
      </c>
      <c r="B1389" s="2" t="str">
        <f>"MIN Schienenstrahler,  CoB LED, 32W, 15°, 3000K, Gehäuse weiß"</f>
        <v>MIN Schienenstrahler,  CoB LED, 32W, 15°, 3000K, Gehäuse weiß</v>
      </c>
      <c r="C1389" s="16">
        <v>124.5</v>
      </c>
      <c r="D1389" s="11">
        <v>29</v>
      </c>
      <c r="E1389" s="7">
        <f t="shared" si="65"/>
        <v>1</v>
      </c>
      <c r="F1389" s="22" t="str">
        <f>IF(ISERROR(VLOOKUP($A1389,#REF!,3,0)),"x",VLOOKUP($A1389,#REF!,3,FALSE))</f>
        <v>x</v>
      </c>
      <c r="G1389" s="9">
        <f t="shared" si="66"/>
        <v>1</v>
      </c>
      <c r="H1389" s="13">
        <f t="shared" si="67"/>
        <v>124.5</v>
      </c>
    </row>
    <row r="1390" spans="1:8" x14ac:dyDescent="0.25">
      <c r="A1390" s="2" t="str">
        <f>"MIN-32WW12-60"</f>
        <v>MIN-32WW12-60</v>
      </c>
      <c r="B1390" s="2" t="str">
        <f>"MIN Schienenstrahler,  CoB LED, 32W, 60°, 3000K, Gehäuse schwarz"</f>
        <v>MIN Schienenstrahler,  CoB LED, 32W, 60°, 3000K, Gehäuse schwarz</v>
      </c>
      <c r="C1390" s="16">
        <v>124.5</v>
      </c>
      <c r="D1390" s="11">
        <v>29</v>
      </c>
      <c r="E1390" s="7">
        <f t="shared" si="65"/>
        <v>1</v>
      </c>
      <c r="F1390" s="22" t="str">
        <f>IF(ISERROR(VLOOKUP($A1390,#REF!,3,0)),"x",VLOOKUP($A1390,#REF!,3,FALSE))</f>
        <v>x</v>
      </c>
      <c r="G1390" s="9">
        <f t="shared" si="66"/>
        <v>1</v>
      </c>
      <c r="H1390" s="13">
        <f t="shared" si="67"/>
        <v>124.5</v>
      </c>
    </row>
    <row r="1391" spans="1:8" x14ac:dyDescent="0.25">
      <c r="A1391" s="2" t="str">
        <f>"MIN-32WW12F"</f>
        <v>MIN-32WW12F</v>
      </c>
      <c r="B1391" s="2" t="str">
        <f>"MIN Schienenstrahler,  CoB LED, 32W, 36°, 3000K, Gehäuse schwarz"</f>
        <v>MIN Schienenstrahler,  CoB LED, 32W, 36°, 3000K, Gehäuse schwarz</v>
      </c>
      <c r="C1391" s="16">
        <v>124.5</v>
      </c>
      <c r="D1391" s="11">
        <v>29</v>
      </c>
      <c r="E1391" s="7">
        <f t="shared" si="65"/>
        <v>1</v>
      </c>
      <c r="F1391" s="22" t="str">
        <f>IF(ISERROR(VLOOKUP($A1391,#REF!,3,0)),"x",VLOOKUP($A1391,#REF!,3,FALSE))</f>
        <v>x</v>
      </c>
      <c r="G1391" s="9">
        <f t="shared" si="66"/>
        <v>1</v>
      </c>
      <c r="H1391" s="13">
        <f t="shared" si="67"/>
        <v>124.5</v>
      </c>
    </row>
    <row r="1392" spans="1:8" x14ac:dyDescent="0.25">
      <c r="A1392" s="2" t="str">
        <f>"MIN-32WW12S"</f>
        <v>MIN-32WW12S</v>
      </c>
      <c r="B1392" s="2" t="str">
        <f>"MIN Schienenstrahler,  CoB LED, 32W, 15°, 3000K, Gehäuse schwarz"</f>
        <v>MIN Schienenstrahler,  CoB LED, 32W, 15°, 3000K, Gehäuse schwarz</v>
      </c>
      <c r="C1392" s="16">
        <v>124.5</v>
      </c>
      <c r="D1392" s="11">
        <v>29</v>
      </c>
      <c r="E1392" s="7">
        <f t="shared" si="65"/>
        <v>1</v>
      </c>
      <c r="F1392" s="22" t="str">
        <f>IF(ISERROR(VLOOKUP($A1392,#REF!,3,0)),"x",VLOOKUP($A1392,#REF!,3,FALSE))</f>
        <v>x</v>
      </c>
      <c r="G1392" s="9">
        <f t="shared" si="66"/>
        <v>1</v>
      </c>
      <c r="H1392" s="13">
        <f t="shared" si="67"/>
        <v>124.5</v>
      </c>
    </row>
    <row r="1393" spans="1:8" x14ac:dyDescent="0.25">
      <c r="A1393" s="2" t="str">
        <f>"MIO-20NW11-60"</f>
        <v>MIO-20NW11-60</v>
      </c>
      <c r="B1393" s="2" t="str">
        <f>"MIO Schienenstrahler, CoB LED, 25W, 60°, 4000K, Gehäuse weiß          "</f>
        <v xml:space="preserve">MIO Schienenstrahler, CoB LED, 25W, 60°, 4000K, Gehäuse weiß          </v>
      </c>
      <c r="C1393" s="16">
        <v>124.5</v>
      </c>
      <c r="D1393" s="11">
        <v>31</v>
      </c>
      <c r="E1393" s="7">
        <f t="shared" si="65"/>
        <v>1</v>
      </c>
      <c r="F1393" s="22" t="str">
        <f>IF(ISERROR(VLOOKUP($A1393,#REF!,3,0)),"x",VLOOKUP($A1393,#REF!,3,FALSE))</f>
        <v>x</v>
      </c>
      <c r="G1393" s="9">
        <f t="shared" si="66"/>
        <v>1</v>
      </c>
      <c r="H1393" s="13">
        <f t="shared" si="67"/>
        <v>124.5</v>
      </c>
    </row>
    <row r="1394" spans="1:8" x14ac:dyDescent="0.25">
      <c r="A1394" s="2" t="str">
        <f>"MIO-20NW11F"</f>
        <v>MIO-20NW11F</v>
      </c>
      <c r="B1394" s="2" t="str">
        <f>"MIO Schienenstrahler, CoB LED, 25W, 36°, 4000K, Gehäuse weiß           "</f>
        <v xml:space="preserve">MIO Schienenstrahler, CoB LED, 25W, 36°, 4000K, Gehäuse weiß           </v>
      </c>
      <c r="C1394" s="16">
        <v>124.5</v>
      </c>
      <c r="D1394" s="11">
        <v>31</v>
      </c>
      <c r="E1394" s="7">
        <f t="shared" si="65"/>
        <v>1</v>
      </c>
      <c r="F1394" s="22" t="str">
        <f>IF(ISERROR(VLOOKUP($A1394,#REF!,3,0)),"x",VLOOKUP($A1394,#REF!,3,FALSE))</f>
        <v>x</v>
      </c>
      <c r="G1394" s="9">
        <f t="shared" si="66"/>
        <v>1</v>
      </c>
      <c r="H1394" s="13">
        <f t="shared" si="67"/>
        <v>124.5</v>
      </c>
    </row>
    <row r="1395" spans="1:8" x14ac:dyDescent="0.25">
      <c r="A1395" s="2" t="str">
        <f>"MIO-20NW11S"</f>
        <v>MIO-20NW11S</v>
      </c>
      <c r="B1395" s="2" t="str">
        <f>"MIO Schienenstrahler, CoB LED, 25W, 15°, 4000K, Gehäuse weiß           "</f>
        <v xml:space="preserve">MIO Schienenstrahler, CoB LED, 25W, 15°, 4000K, Gehäuse weiß           </v>
      </c>
      <c r="C1395" s="16">
        <v>124.5</v>
      </c>
      <c r="D1395" s="11">
        <v>31</v>
      </c>
      <c r="E1395" s="7">
        <f t="shared" si="65"/>
        <v>1</v>
      </c>
      <c r="F1395" s="22" t="str">
        <f>IF(ISERROR(VLOOKUP($A1395,#REF!,3,0)),"x",VLOOKUP($A1395,#REF!,3,FALSE))</f>
        <v>x</v>
      </c>
      <c r="G1395" s="9">
        <f t="shared" si="66"/>
        <v>1</v>
      </c>
      <c r="H1395" s="13">
        <f t="shared" si="67"/>
        <v>124.5</v>
      </c>
    </row>
    <row r="1396" spans="1:8" x14ac:dyDescent="0.25">
      <c r="A1396" s="2" t="str">
        <f>"MIO-20NW12-60"</f>
        <v>MIO-20NW12-60</v>
      </c>
      <c r="B1396" s="2" t="str">
        <f>"MIO Schienenstrahler, CoB LED, 25W, 60°, 4000K, Gehäuse schwarz "</f>
        <v xml:space="preserve">MIO Schienenstrahler, CoB LED, 25W, 60°, 4000K, Gehäuse schwarz </v>
      </c>
      <c r="C1396" s="16">
        <v>124.5</v>
      </c>
      <c r="D1396" s="11">
        <v>31</v>
      </c>
      <c r="E1396" s="7">
        <f t="shared" si="65"/>
        <v>1</v>
      </c>
      <c r="F1396" s="22" t="str">
        <f>IF(ISERROR(VLOOKUP($A1396,#REF!,3,0)),"x",VLOOKUP($A1396,#REF!,3,FALSE))</f>
        <v>x</v>
      </c>
      <c r="G1396" s="9">
        <f t="shared" si="66"/>
        <v>1</v>
      </c>
      <c r="H1396" s="13">
        <f t="shared" si="67"/>
        <v>124.5</v>
      </c>
    </row>
    <row r="1397" spans="1:8" x14ac:dyDescent="0.25">
      <c r="A1397" s="2" t="str">
        <f>"MIO-20NW12F"</f>
        <v>MIO-20NW12F</v>
      </c>
      <c r="B1397" s="2" t="str">
        <f>"MIO Schienenstrahler, CoB LED, 25W, 36°, 4000K, Gehäuse schwarz"</f>
        <v>MIO Schienenstrahler, CoB LED, 25W, 36°, 4000K, Gehäuse schwarz</v>
      </c>
      <c r="C1397" s="16">
        <v>124.5</v>
      </c>
      <c r="D1397" s="11">
        <v>31</v>
      </c>
      <c r="E1397" s="7">
        <f t="shared" si="65"/>
        <v>1</v>
      </c>
      <c r="F1397" s="22" t="str">
        <f>IF(ISERROR(VLOOKUP($A1397,#REF!,3,0)),"x",VLOOKUP($A1397,#REF!,3,FALSE))</f>
        <v>x</v>
      </c>
      <c r="G1397" s="9">
        <f t="shared" si="66"/>
        <v>1</v>
      </c>
      <c r="H1397" s="13">
        <f t="shared" si="67"/>
        <v>124.5</v>
      </c>
    </row>
    <row r="1398" spans="1:8" x14ac:dyDescent="0.25">
      <c r="A1398" s="2" t="str">
        <f>"MIO-20NW12S"</f>
        <v>MIO-20NW12S</v>
      </c>
      <c r="B1398" s="2" t="str">
        <f>"MIO Schienenstrahler, CoB LED, 25W, 15°, 4000K, Gehäuse schwarz"</f>
        <v>MIO Schienenstrahler, CoB LED, 25W, 15°, 4000K, Gehäuse schwarz</v>
      </c>
      <c r="C1398" s="16">
        <v>124.5</v>
      </c>
      <c r="D1398" s="11">
        <v>31</v>
      </c>
      <c r="E1398" s="7">
        <f t="shared" si="65"/>
        <v>1</v>
      </c>
      <c r="F1398" s="22" t="str">
        <f>IF(ISERROR(VLOOKUP($A1398,#REF!,3,0)),"x",VLOOKUP($A1398,#REF!,3,FALSE))</f>
        <v>x</v>
      </c>
      <c r="G1398" s="9">
        <f t="shared" si="66"/>
        <v>1</v>
      </c>
      <c r="H1398" s="13">
        <f t="shared" si="67"/>
        <v>124.5</v>
      </c>
    </row>
    <row r="1399" spans="1:8" x14ac:dyDescent="0.25">
      <c r="A1399" s="2" t="str">
        <f>"MIO-20SW11-60"</f>
        <v>MIO-20SW11-60</v>
      </c>
      <c r="B1399" s="2" t="str">
        <f>"MIO Schienenstrahler, CoB LED, 25W, 60°, 2700K, Gehäuse weiß           "</f>
        <v xml:space="preserve">MIO Schienenstrahler, CoB LED, 25W, 60°, 2700K, Gehäuse weiß           </v>
      </c>
      <c r="C1399" s="16">
        <v>124.5</v>
      </c>
      <c r="D1399" s="11">
        <v>31</v>
      </c>
      <c r="E1399" s="7">
        <f t="shared" si="65"/>
        <v>1</v>
      </c>
      <c r="F1399" s="22" t="str">
        <f>IF(ISERROR(VLOOKUP($A1399,#REF!,3,0)),"x",VLOOKUP($A1399,#REF!,3,FALSE))</f>
        <v>x</v>
      </c>
      <c r="G1399" s="9">
        <f t="shared" si="66"/>
        <v>1</v>
      </c>
      <c r="H1399" s="13">
        <f t="shared" si="67"/>
        <v>124.5</v>
      </c>
    </row>
    <row r="1400" spans="1:8" x14ac:dyDescent="0.25">
      <c r="A1400" s="2" t="str">
        <f>"MIO-20SW11F"</f>
        <v>MIO-20SW11F</v>
      </c>
      <c r="B1400" s="2" t="str">
        <f>"MIO Schienenstrahler, CoB LED, 25W, 36°, 2700K, Gehäuse weiß         "</f>
        <v xml:space="preserve">MIO Schienenstrahler, CoB LED, 25W, 36°, 2700K, Gehäuse weiß         </v>
      </c>
      <c r="C1400" s="16">
        <v>124.5</v>
      </c>
      <c r="D1400" s="11">
        <v>31</v>
      </c>
      <c r="E1400" s="7">
        <f t="shared" si="65"/>
        <v>1</v>
      </c>
      <c r="F1400" s="22" t="str">
        <f>IF(ISERROR(VLOOKUP($A1400,#REF!,3,0)),"x",VLOOKUP($A1400,#REF!,3,FALSE))</f>
        <v>x</v>
      </c>
      <c r="G1400" s="9">
        <f t="shared" si="66"/>
        <v>1</v>
      </c>
      <c r="H1400" s="13">
        <f t="shared" si="67"/>
        <v>124.5</v>
      </c>
    </row>
    <row r="1401" spans="1:8" x14ac:dyDescent="0.25">
      <c r="A1401" s="2" t="str">
        <f>"MIO-20SW11S"</f>
        <v>MIO-20SW11S</v>
      </c>
      <c r="B1401" s="2" t="str">
        <f>"MIO Schienenstrahler, CoB LED, 25W, 15°, 2700K, Gehäuse weiß      "</f>
        <v xml:space="preserve">MIO Schienenstrahler, CoB LED, 25W, 15°, 2700K, Gehäuse weiß      </v>
      </c>
      <c r="C1401" s="16">
        <v>124.5</v>
      </c>
      <c r="D1401" s="11">
        <v>31</v>
      </c>
      <c r="E1401" s="7">
        <f t="shared" si="65"/>
        <v>1</v>
      </c>
      <c r="F1401" s="22" t="str">
        <f>IF(ISERROR(VLOOKUP($A1401,#REF!,3,0)),"x",VLOOKUP($A1401,#REF!,3,FALSE))</f>
        <v>x</v>
      </c>
      <c r="G1401" s="9">
        <f t="shared" si="66"/>
        <v>1</v>
      </c>
      <c r="H1401" s="13">
        <f t="shared" si="67"/>
        <v>124.5</v>
      </c>
    </row>
    <row r="1402" spans="1:8" x14ac:dyDescent="0.25">
      <c r="A1402" s="2" t="str">
        <f>"MIO-20SW12-60"</f>
        <v>MIO-20SW12-60</v>
      </c>
      <c r="B1402" s="2" t="str">
        <f>"MIO Schienenstrahler, CoB LED, 25W, 60°, 2700K, Gehäuse schwarz      "</f>
        <v xml:space="preserve">MIO Schienenstrahler, CoB LED, 25W, 60°, 2700K, Gehäuse schwarz      </v>
      </c>
      <c r="C1402" s="16">
        <v>124.5</v>
      </c>
      <c r="D1402" s="11">
        <v>31</v>
      </c>
      <c r="E1402" s="7">
        <f t="shared" si="65"/>
        <v>1</v>
      </c>
      <c r="F1402" s="22" t="str">
        <f>IF(ISERROR(VLOOKUP($A1402,#REF!,3,0)),"x",VLOOKUP($A1402,#REF!,3,FALSE))</f>
        <v>x</v>
      </c>
      <c r="G1402" s="9">
        <f t="shared" si="66"/>
        <v>1</v>
      </c>
      <c r="H1402" s="13">
        <f t="shared" si="67"/>
        <v>124.5</v>
      </c>
    </row>
    <row r="1403" spans="1:8" x14ac:dyDescent="0.25">
      <c r="A1403" s="2" t="str">
        <f>"MIO-20SW12F"</f>
        <v>MIO-20SW12F</v>
      </c>
      <c r="B1403" s="2" t="str">
        <f>"MIO Schienenstrahler, CoB LED, 25W, 36°, 2700K, Gehäuse schwarz         "</f>
        <v xml:space="preserve">MIO Schienenstrahler, CoB LED, 25W, 36°, 2700K, Gehäuse schwarz         </v>
      </c>
      <c r="C1403" s="16">
        <v>124.5</v>
      </c>
      <c r="D1403" s="11">
        <v>31</v>
      </c>
      <c r="E1403" s="7">
        <f t="shared" si="65"/>
        <v>1</v>
      </c>
      <c r="F1403" s="22" t="str">
        <f>IF(ISERROR(VLOOKUP($A1403,#REF!,3,0)),"x",VLOOKUP($A1403,#REF!,3,FALSE))</f>
        <v>x</v>
      </c>
      <c r="G1403" s="9">
        <f t="shared" si="66"/>
        <v>1</v>
      </c>
      <c r="H1403" s="13">
        <f t="shared" si="67"/>
        <v>124.5</v>
      </c>
    </row>
    <row r="1404" spans="1:8" x14ac:dyDescent="0.25">
      <c r="A1404" s="2" t="str">
        <f>"MIO-20SW12S"</f>
        <v>MIO-20SW12S</v>
      </c>
      <c r="B1404" s="2" t="str">
        <f>"MIO Schienenstrahler, CoB LED, 25W, 15°, 2700K, Gehäuse schwarz    "</f>
        <v xml:space="preserve">MIO Schienenstrahler, CoB LED, 25W, 15°, 2700K, Gehäuse schwarz    </v>
      </c>
      <c r="C1404" s="16">
        <v>124.5</v>
      </c>
      <c r="D1404" s="11">
        <v>31</v>
      </c>
      <c r="E1404" s="7">
        <f t="shared" si="65"/>
        <v>1</v>
      </c>
      <c r="F1404" s="22" t="str">
        <f>IF(ISERROR(VLOOKUP($A1404,#REF!,3,0)),"x",VLOOKUP($A1404,#REF!,3,FALSE))</f>
        <v>x</v>
      </c>
      <c r="G1404" s="9">
        <f t="shared" si="66"/>
        <v>1</v>
      </c>
      <c r="H1404" s="13">
        <f t="shared" si="67"/>
        <v>124.5</v>
      </c>
    </row>
    <row r="1405" spans="1:8" x14ac:dyDescent="0.25">
      <c r="A1405" s="2" t="str">
        <f>"MIO-20WNW11-60"</f>
        <v>MIO-20WNW11-60</v>
      </c>
      <c r="B1405" s="2" t="str">
        <f>"MIO Schienenstrahler, CoB LED, 25W, 60°, 3500K, Gehäuse weiß           "</f>
        <v xml:space="preserve">MIO Schienenstrahler, CoB LED, 25W, 60°, 3500K, Gehäuse weiß           </v>
      </c>
      <c r="C1405" s="16">
        <v>124.5</v>
      </c>
      <c r="D1405" s="11">
        <v>31</v>
      </c>
      <c r="E1405" s="7">
        <f t="shared" si="65"/>
        <v>1</v>
      </c>
      <c r="F1405" s="22" t="str">
        <f>IF(ISERROR(VLOOKUP($A1405,#REF!,3,0)),"x",VLOOKUP($A1405,#REF!,3,FALSE))</f>
        <v>x</v>
      </c>
      <c r="G1405" s="9">
        <f t="shared" si="66"/>
        <v>1</v>
      </c>
      <c r="H1405" s="13">
        <f t="shared" si="67"/>
        <v>124.5</v>
      </c>
    </row>
    <row r="1406" spans="1:8" x14ac:dyDescent="0.25">
      <c r="A1406" s="2" t="str">
        <f>"MIO-20WNW11F"</f>
        <v>MIO-20WNW11F</v>
      </c>
      <c r="B1406" s="2" t="str">
        <f>"MIO Schienenstrahler, CoB LED, 25W, 36°, 3500K, Gehäuse weiß         "</f>
        <v xml:space="preserve">MIO Schienenstrahler, CoB LED, 25W, 36°, 3500K, Gehäuse weiß         </v>
      </c>
      <c r="C1406" s="16">
        <v>124.5</v>
      </c>
      <c r="D1406" s="11">
        <v>31</v>
      </c>
      <c r="E1406" s="7">
        <f t="shared" si="65"/>
        <v>1</v>
      </c>
      <c r="F1406" s="22" t="str">
        <f>IF(ISERROR(VLOOKUP($A1406,#REF!,3,0)),"x",VLOOKUP($A1406,#REF!,3,FALSE))</f>
        <v>x</v>
      </c>
      <c r="G1406" s="9">
        <f t="shared" si="66"/>
        <v>1</v>
      </c>
      <c r="H1406" s="13">
        <f t="shared" si="67"/>
        <v>124.5</v>
      </c>
    </row>
    <row r="1407" spans="1:8" x14ac:dyDescent="0.25">
      <c r="A1407" s="2" t="str">
        <f>"MIO-20WNW11S"</f>
        <v>MIO-20WNW11S</v>
      </c>
      <c r="B1407" s="2" t="str">
        <f>"MIO Schienenstrahler, CoB LED, 25W, 15°, 3500K, Gehäuse weiß    "</f>
        <v xml:space="preserve">MIO Schienenstrahler, CoB LED, 25W, 15°, 3500K, Gehäuse weiß    </v>
      </c>
      <c r="C1407" s="16">
        <v>124.5</v>
      </c>
      <c r="D1407" s="11">
        <v>31</v>
      </c>
      <c r="E1407" s="7">
        <f t="shared" si="65"/>
        <v>1</v>
      </c>
      <c r="F1407" s="22" t="str">
        <f>IF(ISERROR(VLOOKUP($A1407,#REF!,3,0)),"x",VLOOKUP($A1407,#REF!,3,FALSE))</f>
        <v>x</v>
      </c>
      <c r="G1407" s="9">
        <f t="shared" si="66"/>
        <v>1</v>
      </c>
      <c r="H1407" s="13">
        <f t="shared" si="67"/>
        <v>124.5</v>
      </c>
    </row>
    <row r="1408" spans="1:8" x14ac:dyDescent="0.25">
      <c r="A1408" s="2" t="str">
        <f>"MIO-20WNW12-60"</f>
        <v>MIO-20WNW12-60</v>
      </c>
      <c r="B1408" s="2" t="str">
        <f>"MIO Schienenstrahler, CoB LED, 25W, 60°, 3500K, Gehäuse schwarz "</f>
        <v xml:space="preserve">MIO Schienenstrahler, CoB LED, 25W, 60°, 3500K, Gehäuse schwarz </v>
      </c>
      <c r="C1408" s="16">
        <v>124.5</v>
      </c>
      <c r="D1408" s="11">
        <v>31</v>
      </c>
      <c r="E1408" s="7">
        <f t="shared" si="65"/>
        <v>1</v>
      </c>
      <c r="F1408" s="22" t="str">
        <f>IF(ISERROR(VLOOKUP($A1408,#REF!,3,0)),"x",VLOOKUP($A1408,#REF!,3,FALSE))</f>
        <v>x</v>
      </c>
      <c r="G1408" s="9">
        <f t="shared" si="66"/>
        <v>1</v>
      </c>
      <c r="H1408" s="13">
        <f t="shared" si="67"/>
        <v>124.5</v>
      </c>
    </row>
    <row r="1409" spans="1:8" x14ac:dyDescent="0.25">
      <c r="A1409" s="2" t="str">
        <f>"MIO-20WNW12F"</f>
        <v>MIO-20WNW12F</v>
      </c>
      <c r="B1409" s="2" t="str">
        <f>"MIO Schienenstrahler, CoB LED, 25W, 36°, 3500K, Gehäuse schwarz"</f>
        <v>MIO Schienenstrahler, CoB LED, 25W, 36°, 3500K, Gehäuse schwarz</v>
      </c>
      <c r="C1409" s="16">
        <v>124.5</v>
      </c>
      <c r="D1409" s="11">
        <v>31</v>
      </c>
      <c r="E1409" s="7">
        <f t="shared" si="65"/>
        <v>1</v>
      </c>
      <c r="F1409" s="22" t="str">
        <f>IF(ISERROR(VLOOKUP($A1409,#REF!,3,0)),"x",VLOOKUP($A1409,#REF!,3,FALSE))</f>
        <v>x</v>
      </c>
      <c r="G1409" s="9">
        <f t="shared" si="66"/>
        <v>1</v>
      </c>
      <c r="H1409" s="13">
        <f t="shared" si="67"/>
        <v>124.5</v>
      </c>
    </row>
    <row r="1410" spans="1:8" x14ac:dyDescent="0.25">
      <c r="A1410" s="2" t="str">
        <f>"MIO-20WNW12S"</f>
        <v>MIO-20WNW12S</v>
      </c>
      <c r="B1410" s="2" t="str">
        <f>"MIO Schienenstrahler, CoB LED, 25W, 15°, 3500K, Gehäuse schwarz"</f>
        <v>MIO Schienenstrahler, CoB LED, 25W, 15°, 3500K, Gehäuse schwarz</v>
      </c>
      <c r="C1410" s="16">
        <v>124.5</v>
      </c>
      <c r="D1410" s="11">
        <v>31</v>
      </c>
      <c r="E1410" s="7">
        <f t="shared" si="65"/>
        <v>1</v>
      </c>
      <c r="F1410" s="22" t="str">
        <f>IF(ISERROR(VLOOKUP($A1410,#REF!,3,0)),"x",VLOOKUP($A1410,#REF!,3,FALSE))</f>
        <v>x</v>
      </c>
      <c r="G1410" s="9">
        <f t="shared" si="66"/>
        <v>1</v>
      </c>
      <c r="H1410" s="13">
        <f t="shared" si="67"/>
        <v>124.5</v>
      </c>
    </row>
    <row r="1411" spans="1:8" x14ac:dyDescent="0.25">
      <c r="A1411" s="2" t="str">
        <f>"MIO-20WW11-60"</f>
        <v>MIO-20WW11-60</v>
      </c>
      <c r="B1411" s="2" t="str">
        <f>"MIO Schienenstrahler, CoB LED, 25W, 60°, 3000K, Gehäuse weiß"</f>
        <v>MIO Schienenstrahler, CoB LED, 25W, 60°, 3000K, Gehäuse weiß</v>
      </c>
      <c r="C1411" s="16">
        <v>124.5</v>
      </c>
      <c r="D1411" s="11">
        <v>31</v>
      </c>
      <c r="E1411" s="7">
        <f t="shared" ref="E1411:E1474" si="68">G1411</f>
        <v>1</v>
      </c>
      <c r="F1411" s="22" t="str">
        <f>IF(ISERROR(VLOOKUP($A1411,#REF!,3,0)),"x",VLOOKUP($A1411,#REF!,3,FALSE))</f>
        <v>x</v>
      </c>
      <c r="G1411" s="9">
        <f t="shared" ref="G1411:G1474" si="69">IF(C1411&lt;F1411,1,IF(C1411&gt;F1411,-1,0))</f>
        <v>1</v>
      </c>
      <c r="H1411" s="13">
        <f t="shared" si="67"/>
        <v>124.5</v>
      </c>
    </row>
    <row r="1412" spans="1:8" x14ac:dyDescent="0.25">
      <c r="A1412" s="2" t="str">
        <f>"MIO-20WW11F"</f>
        <v>MIO-20WW11F</v>
      </c>
      <c r="B1412" s="2" t="str">
        <f>"MIO Schienenstrahler, CoB LED, 25W, 36°, 3000K, Gehäuse weiß         "</f>
        <v xml:space="preserve">MIO Schienenstrahler, CoB LED, 25W, 36°, 3000K, Gehäuse weiß         </v>
      </c>
      <c r="C1412" s="16">
        <v>124.5</v>
      </c>
      <c r="D1412" s="11">
        <v>31</v>
      </c>
      <c r="E1412" s="7">
        <f t="shared" si="68"/>
        <v>1</v>
      </c>
      <c r="F1412" s="22" t="str">
        <f>IF(ISERROR(VLOOKUP($A1412,#REF!,3,0)),"x",VLOOKUP($A1412,#REF!,3,FALSE))</f>
        <v>x</v>
      </c>
      <c r="G1412" s="9">
        <f t="shared" si="69"/>
        <v>1</v>
      </c>
      <c r="H1412" s="13">
        <f t="shared" si="67"/>
        <v>124.5</v>
      </c>
    </row>
    <row r="1413" spans="1:8" x14ac:dyDescent="0.25">
      <c r="A1413" s="2" t="str">
        <f>"MIO-20WW11S"</f>
        <v>MIO-20WW11S</v>
      </c>
      <c r="B1413" s="2" t="str">
        <f>"MIO Schienenstrahler, CoB LED, 25W, 15°, 3000K, Gehäuse weiß"</f>
        <v>MIO Schienenstrahler, CoB LED, 25W, 15°, 3000K, Gehäuse weiß</v>
      </c>
      <c r="C1413" s="16">
        <v>124.5</v>
      </c>
      <c r="D1413" s="11">
        <v>31</v>
      </c>
      <c r="E1413" s="7">
        <f t="shared" si="68"/>
        <v>1</v>
      </c>
      <c r="F1413" s="22" t="str">
        <f>IF(ISERROR(VLOOKUP($A1413,#REF!,3,0)),"x",VLOOKUP($A1413,#REF!,3,FALSE))</f>
        <v>x</v>
      </c>
      <c r="G1413" s="9">
        <f t="shared" si="69"/>
        <v>1</v>
      </c>
      <c r="H1413" s="13">
        <f t="shared" ref="H1413:H1476" si="70">IF(F1413="x",C1413,F1413)</f>
        <v>124.5</v>
      </c>
    </row>
    <row r="1414" spans="1:8" x14ac:dyDescent="0.25">
      <c r="A1414" s="2" t="str">
        <f>"MIO-20WW12-60"</f>
        <v>MIO-20WW12-60</v>
      </c>
      <c r="B1414" s="2" t="str">
        <f>"MIO Schienenstrahler, CoB LED, 25W, 60°, 3000K, Gehäuse schwarz         "</f>
        <v xml:space="preserve">MIO Schienenstrahler, CoB LED, 25W, 60°, 3000K, Gehäuse schwarz         </v>
      </c>
      <c r="C1414" s="16">
        <v>124.5</v>
      </c>
      <c r="D1414" s="11">
        <v>31</v>
      </c>
      <c r="E1414" s="7">
        <f t="shared" si="68"/>
        <v>1</v>
      </c>
      <c r="F1414" s="22" t="str">
        <f>IF(ISERROR(VLOOKUP($A1414,#REF!,3,0)),"x",VLOOKUP($A1414,#REF!,3,FALSE))</f>
        <v>x</v>
      </c>
      <c r="G1414" s="9">
        <f t="shared" si="69"/>
        <v>1</v>
      </c>
      <c r="H1414" s="13">
        <f t="shared" si="70"/>
        <v>124.5</v>
      </c>
    </row>
    <row r="1415" spans="1:8" x14ac:dyDescent="0.25">
      <c r="A1415" s="2" t="str">
        <f>"MIO-20WW12F"</f>
        <v>MIO-20WW12F</v>
      </c>
      <c r="B1415" s="2" t="str">
        <f>"MIO Schienenstrahler, CoB LED, 25W, 36°, 3000K, Gehäuse schwarz         "</f>
        <v xml:space="preserve">MIO Schienenstrahler, CoB LED, 25W, 36°, 3000K, Gehäuse schwarz         </v>
      </c>
      <c r="C1415" s="16">
        <v>124.5</v>
      </c>
      <c r="D1415" s="11">
        <v>31</v>
      </c>
      <c r="E1415" s="7">
        <f t="shared" si="68"/>
        <v>1</v>
      </c>
      <c r="F1415" s="22" t="str">
        <f>IF(ISERROR(VLOOKUP($A1415,#REF!,3,0)),"x",VLOOKUP($A1415,#REF!,3,FALSE))</f>
        <v>x</v>
      </c>
      <c r="G1415" s="9">
        <f t="shared" si="69"/>
        <v>1</v>
      </c>
      <c r="H1415" s="13">
        <f t="shared" si="70"/>
        <v>124.5</v>
      </c>
    </row>
    <row r="1416" spans="1:8" x14ac:dyDescent="0.25">
      <c r="A1416" s="2" t="str">
        <f>"MIO-20WW12S"</f>
        <v>MIO-20WW12S</v>
      </c>
      <c r="B1416" s="2" t="str">
        <f>"MIO Schienenstrahler, CoB LED, 25W, 15°, 3000K, Gehäuse schwarz"</f>
        <v>MIO Schienenstrahler, CoB LED, 25W, 15°, 3000K, Gehäuse schwarz</v>
      </c>
      <c r="C1416" s="16">
        <v>124.5</v>
      </c>
      <c r="D1416" s="11">
        <v>31</v>
      </c>
      <c r="E1416" s="7">
        <f t="shared" si="68"/>
        <v>1</v>
      </c>
      <c r="F1416" s="22" t="str">
        <f>IF(ISERROR(VLOOKUP($A1416,#REF!,3,0)),"x",VLOOKUP($A1416,#REF!,3,FALSE))</f>
        <v>x</v>
      </c>
      <c r="G1416" s="9">
        <f t="shared" si="69"/>
        <v>1</v>
      </c>
      <c r="H1416" s="13">
        <f t="shared" si="70"/>
        <v>124.5</v>
      </c>
    </row>
    <row r="1417" spans="1:8" x14ac:dyDescent="0.25">
      <c r="A1417" s="2" t="str">
        <f>"MIO-30NW11-60"</f>
        <v>MIO-30NW11-60</v>
      </c>
      <c r="B1417" s="2" t="str">
        <f>"MIO Schienenstrahler, CoB LED, 34W, 60°, 4000K, Gehäuse weiß          "</f>
        <v xml:space="preserve">MIO Schienenstrahler, CoB LED, 34W, 60°, 4000K, Gehäuse weiß          </v>
      </c>
      <c r="C1417" s="16">
        <v>124.5</v>
      </c>
      <c r="D1417" s="11">
        <v>31</v>
      </c>
      <c r="E1417" s="7">
        <f t="shared" si="68"/>
        <v>1</v>
      </c>
      <c r="F1417" s="22" t="str">
        <f>IF(ISERROR(VLOOKUP($A1417,#REF!,3,0)),"x",VLOOKUP($A1417,#REF!,3,FALSE))</f>
        <v>x</v>
      </c>
      <c r="G1417" s="9">
        <f t="shared" si="69"/>
        <v>1</v>
      </c>
      <c r="H1417" s="13">
        <f t="shared" si="70"/>
        <v>124.5</v>
      </c>
    </row>
    <row r="1418" spans="1:8" x14ac:dyDescent="0.25">
      <c r="A1418" s="2" t="str">
        <f>"MIO-30NW11F"</f>
        <v>MIO-30NW11F</v>
      </c>
      <c r="B1418" s="2" t="str">
        <f>"MIO Schienenstrahler, CoB LED, 34W, 36°, 4000K, Gehäuse weiß           "</f>
        <v xml:space="preserve">MIO Schienenstrahler, CoB LED, 34W, 36°, 4000K, Gehäuse weiß           </v>
      </c>
      <c r="C1418" s="16">
        <v>124.5</v>
      </c>
      <c r="D1418" s="11">
        <v>31</v>
      </c>
      <c r="E1418" s="7">
        <f t="shared" si="68"/>
        <v>1</v>
      </c>
      <c r="F1418" s="22" t="str">
        <f>IF(ISERROR(VLOOKUP($A1418,#REF!,3,0)),"x",VLOOKUP($A1418,#REF!,3,FALSE))</f>
        <v>x</v>
      </c>
      <c r="G1418" s="9">
        <f t="shared" si="69"/>
        <v>1</v>
      </c>
      <c r="H1418" s="13">
        <f t="shared" si="70"/>
        <v>124.5</v>
      </c>
    </row>
    <row r="1419" spans="1:8" x14ac:dyDescent="0.25">
      <c r="A1419" s="2" t="str">
        <f>"MIO-30NW11S"</f>
        <v>MIO-30NW11S</v>
      </c>
      <c r="B1419" s="2" t="str">
        <f>"MIO Schienenstrahler, CoB LED, 34W, 15°, 4000K, Gehäuse weiß           "</f>
        <v xml:space="preserve">MIO Schienenstrahler, CoB LED, 34W, 15°, 4000K, Gehäuse weiß           </v>
      </c>
      <c r="C1419" s="16">
        <v>124.5</v>
      </c>
      <c r="D1419" s="11">
        <v>31</v>
      </c>
      <c r="E1419" s="7">
        <f t="shared" si="68"/>
        <v>1</v>
      </c>
      <c r="F1419" s="22" t="str">
        <f>IF(ISERROR(VLOOKUP($A1419,#REF!,3,0)),"x",VLOOKUP($A1419,#REF!,3,FALSE))</f>
        <v>x</v>
      </c>
      <c r="G1419" s="9">
        <f t="shared" si="69"/>
        <v>1</v>
      </c>
      <c r="H1419" s="13">
        <f t="shared" si="70"/>
        <v>124.5</v>
      </c>
    </row>
    <row r="1420" spans="1:8" x14ac:dyDescent="0.25">
      <c r="A1420" s="2" t="str">
        <f>"MIO-30NW12-60"</f>
        <v>MIO-30NW12-60</v>
      </c>
      <c r="B1420" s="2" t="str">
        <f>"MIO Schienenstrahler, CoB LED, 34W, 60°, 4000K, Gehäuse schwarz           "</f>
        <v xml:space="preserve">MIO Schienenstrahler, CoB LED, 34W, 60°, 4000K, Gehäuse schwarz           </v>
      </c>
      <c r="C1420" s="16">
        <v>124.5</v>
      </c>
      <c r="D1420" s="11">
        <v>31</v>
      </c>
      <c r="E1420" s="7">
        <f t="shared" si="68"/>
        <v>1</v>
      </c>
      <c r="F1420" s="22" t="str">
        <f>IF(ISERROR(VLOOKUP($A1420,#REF!,3,0)),"x",VLOOKUP($A1420,#REF!,3,FALSE))</f>
        <v>x</v>
      </c>
      <c r="G1420" s="9">
        <f t="shared" si="69"/>
        <v>1</v>
      </c>
      <c r="H1420" s="13">
        <f t="shared" si="70"/>
        <v>124.5</v>
      </c>
    </row>
    <row r="1421" spans="1:8" x14ac:dyDescent="0.25">
      <c r="A1421" s="2" t="str">
        <f>"MIO-30NW12F"</f>
        <v>MIO-30NW12F</v>
      </c>
      <c r="B1421" s="2" t="str">
        <f>"MIO Schienenstrahler, CoB LED, 34W, 36°, 4000K, Gehäuse schwarz        "</f>
        <v xml:space="preserve">MIO Schienenstrahler, CoB LED, 34W, 36°, 4000K, Gehäuse schwarz        </v>
      </c>
      <c r="C1421" s="16">
        <v>124.5</v>
      </c>
      <c r="D1421" s="11">
        <v>31</v>
      </c>
      <c r="E1421" s="7">
        <f t="shared" si="68"/>
        <v>1</v>
      </c>
      <c r="F1421" s="22" t="str">
        <f>IF(ISERROR(VLOOKUP($A1421,#REF!,3,0)),"x",VLOOKUP($A1421,#REF!,3,FALSE))</f>
        <v>x</v>
      </c>
      <c r="G1421" s="9">
        <f t="shared" si="69"/>
        <v>1</v>
      </c>
      <c r="H1421" s="13">
        <f t="shared" si="70"/>
        <v>124.5</v>
      </c>
    </row>
    <row r="1422" spans="1:8" x14ac:dyDescent="0.25">
      <c r="A1422" s="2" t="str">
        <f>"MIO-30NW12S"</f>
        <v>MIO-30NW12S</v>
      </c>
      <c r="B1422" s="2" t="str">
        <f>"MIO Schienenstrahler, CoB LED, 34W, 15°, 4000K, Gehäuse schwarz          "</f>
        <v xml:space="preserve">MIO Schienenstrahler, CoB LED, 34W, 15°, 4000K, Gehäuse schwarz          </v>
      </c>
      <c r="C1422" s="16">
        <v>124.5</v>
      </c>
      <c r="D1422" s="11">
        <v>31</v>
      </c>
      <c r="E1422" s="7">
        <f t="shared" si="68"/>
        <v>1</v>
      </c>
      <c r="F1422" s="22" t="str">
        <f>IF(ISERROR(VLOOKUP($A1422,#REF!,3,0)),"x",VLOOKUP($A1422,#REF!,3,FALSE))</f>
        <v>x</v>
      </c>
      <c r="G1422" s="9">
        <f t="shared" si="69"/>
        <v>1</v>
      </c>
      <c r="H1422" s="13">
        <f t="shared" si="70"/>
        <v>124.5</v>
      </c>
    </row>
    <row r="1423" spans="1:8" x14ac:dyDescent="0.25">
      <c r="A1423" s="2" t="str">
        <f>"MIO-30SW11-60"</f>
        <v>MIO-30SW11-60</v>
      </c>
      <c r="B1423" s="2" t="str">
        <f>"MIO Schienenstrahler, CoB LED, 34W, 60°, 2700K, Gehäuse weiß           "</f>
        <v xml:space="preserve">MIO Schienenstrahler, CoB LED, 34W, 60°, 2700K, Gehäuse weiß           </v>
      </c>
      <c r="C1423" s="16">
        <v>124.5</v>
      </c>
      <c r="D1423" s="11">
        <v>31</v>
      </c>
      <c r="E1423" s="7">
        <f t="shared" si="68"/>
        <v>1</v>
      </c>
      <c r="F1423" s="22" t="str">
        <f>IF(ISERROR(VLOOKUP($A1423,#REF!,3,0)),"x",VLOOKUP($A1423,#REF!,3,FALSE))</f>
        <v>x</v>
      </c>
      <c r="G1423" s="9">
        <f t="shared" si="69"/>
        <v>1</v>
      </c>
      <c r="H1423" s="13">
        <f t="shared" si="70"/>
        <v>124.5</v>
      </c>
    </row>
    <row r="1424" spans="1:8" x14ac:dyDescent="0.25">
      <c r="A1424" s="2" t="str">
        <f>"MIO-30SW11F"</f>
        <v>MIO-30SW11F</v>
      </c>
      <c r="B1424" s="2" t="str">
        <f>"MIO Schienenstrahler, CoB LED, 34W, 36°, 2700K, Gehäuse weiß         "</f>
        <v xml:space="preserve">MIO Schienenstrahler, CoB LED, 34W, 36°, 2700K, Gehäuse weiß         </v>
      </c>
      <c r="C1424" s="16">
        <v>124.5</v>
      </c>
      <c r="D1424" s="11">
        <v>31</v>
      </c>
      <c r="E1424" s="7">
        <f t="shared" si="68"/>
        <v>1</v>
      </c>
      <c r="F1424" s="22" t="str">
        <f>IF(ISERROR(VLOOKUP($A1424,#REF!,3,0)),"x",VLOOKUP($A1424,#REF!,3,FALSE))</f>
        <v>x</v>
      </c>
      <c r="G1424" s="9">
        <f t="shared" si="69"/>
        <v>1</v>
      </c>
      <c r="H1424" s="13">
        <f t="shared" si="70"/>
        <v>124.5</v>
      </c>
    </row>
    <row r="1425" spans="1:8" x14ac:dyDescent="0.25">
      <c r="A1425" s="2" t="str">
        <f>"MIO-30SW11S"</f>
        <v>MIO-30SW11S</v>
      </c>
      <c r="B1425" s="2" t="str">
        <f>"MIO Schienenstrahler, CoB LED, 34W, 15°, 2700K, Gehäuse weiß      "</f>
        <v xml:space="preserve">MIO Schienenstrahler, CoB LED, 34W, 15°, 2700K, Gehäuse weiß      </v>
      </c>
      <c r="C1425" s="16">
        <v>124.5</v>
      </c>
      <c r="D1425" s="11">
        <v>31</v>
      </c>
      <c r="E1425" s="7">
        <f t="shared" si="68"/>
        <v>1</v>
      </c>
      <c r="F1425" s="22" t="str">
        <f>IF(ISERROR(VLOOKUP($A1425,#REF!,3,0)),"x",VLOOKUP($A1425,#REF!,3,FALSE))</f>
        <v>x</v>
      </c>
      <c r="G1425" s="9">
        <f t="shared" si="69"/>
        <v>1</v>
      </c>
      <c r="H1425" s="13">
        <f t="shared" si="70"/>
        <v>124.5</v>
      </c>
    </row>
    <row r="1426" spans="1:8" x14ac:dyDescent="0.25">
      <c r="A1426" s="2" t="str">
        <f>"MIO-30SW12-60"</f>
        <v>MIO-30SW12-60</v>
      </c>
      <c r="B1426" s="2" t="str">
        <f>"MIO Schienenstrahler, CoB LED, 34W, 60°, 2700K, Gehäuse schwarz      "</f>
        <v xml:space="preserve">MIO Schienenstrahler, CoB LED, 34W, 60°, 2700K, Gehäuse schwarz      </v>
      </c>
      <c r="C1426" s="16">
        <v>124.5</v>
      </c>
      <c r="D1426" s="11">
        <v>31</v>
      </c>
      <c r="E1426" s="7">
        <f t="shared" si="68"/>
        <v>1</v>
      </c>
      <c r="F1426" s="22" t="str">
        <f>IF(ISERROR(VLOOKUP($A1426,#REF!,3,0)),"x",VLOOKUP($A1426,#REF!,3,FALSE))</f>
        <v>x</v>
      </c>
      <c r="G1426" s="9">
        <f t="shared" si="69"/>
        <v>1</v>
      </c>
      <c r="H1426" s="13">
        <f t="shared" si="70"/>
        <v>124.5</v>
      </c>
    </row>
    <row r="1427" spans="1:8" x14ac:dyDescent="0.25">
      <c r="A1427" s="2" t="str">
        <f>"MIO-30SW12F"</f>
        <v>MIO-30SW12F</v>
      </c>
      <c r="B1427" s="2" t="str">
        <f>"MIO Schienenstrahler, CoB LED, 34W, 36°, 2700K, Gehäuse schwarz         "</f>
        <v xml:space="preserve">MIO Schienenstrahler, CoB LED, 34W, 36°, 2700K, Gehäuse schwarz         </v>
      </c>
      <c r="C1427" s="16">
        <v>124.5</v>
      </c>
      <c r="D1427" s="11">
        <v>31</v>
      </c>
      <c r="E1427" s="7">
        <f t="shared" si="68"/>
        <v>1</v>
      </c>
      <c r="F1427" s="22" t="str">
        <f>IF(ISERROR(VLOOKUP($A1427,#REF!,3,0)),"x",VLOOKUP($A1427,#REF!,3,FALSE))</f>
        <v>x</v>
      </c>
      <c r="G1427" s="9">
        <f t="shared" si="69"/>
        <v>1</v>
      </c>
      <c r="H1427" s="13">
        <f t="shared" si="70"/>
        <v>124.5</v>
      </c>
    </row>
    <row r="1428" spans="1:8" x14ac:dyDescent="0.25">
      <c r="A1428" s="2" t="str">
        <f>"MIO-30SW12S"</f>
        <v>MIO-30SW12S</v>
      </c>
      <c r="B1428" s="2" t="str">
        <f>"MIO Schienenstrahler, CoB LED, 34W, 15°, 2700K, Gehäuse schwarz    "</f>
        <v xml:space="preserve">MIO Schienenstrahler, CoB LED, 34W, 15°, 2700K, Gehäuse schwarz    </v>
      </c>
      <c r="C1428" s="16">
        <v>124.5</v>
      </c>
      <c r="D1428" s="11">
        <v>31</v>
      </c>
      <c r="E1428" s="7">
        <f t="shared" si="68"/>
        <v>1</v>
      </c>
      <c r="F1428" s="22" t="str">
        <f>IF(ISERROR(VLOOKUP($A1428,#REF!,3,0)),"x",VLOOKUP($A1428,#REF!,3,FALSE))</f>
        <v>x</v>
      </c>
      <c r="G1428" s="9">
        <f t="shared" si="69"/>
        <v>1</v>
      </c>
      <c r="H1428" s="13">
        <f t="shared" si="70"/>
        <v>124.5</v>
      </c>
    </row>
    <row r="1429" spans="1:8" x14ac:dyDescent="0.25">
      <c r="A1429" s="2" t="str">
        <f>"MIO-30WNW11-60"</f>
        <v>MIO-30WNW11-60</v>
      </c>
      <c r="B1429" s="2" t="str">
        <f>"MIO Schienenstrahler, CoB LED, 34W, 60°, 3500K, Gehäuse weiß           "</f>
        <v xml:space="preserve">MIO Schienenstrahler, CoB LED, 34W, 60°, 3500K, Gehäuse weiß           </v>
      </c>
      <c r="C1429" s="16">
        <v>124.5</v>
      </c>
      <c r="D1429" s="11">
        <v>31</v>
      </c>
      <c r="E1429" s="7">
        <f t="shared" si="68"/>
        <v>1</v>
      </c>
      <c r="F1429" s="22" t="str">
        <f>IF(ISERROR(VLOOKUP($A1429,#REF!,3,0)),"x",VLOOKUP($A1429,#REF!,3,FALSE))</f>
        <v>x</v>
      </c>
      <c r="G1429" s="9">
        <f t="shared" si="69"/>
        <v>1</v>
      </c>
      <c r="H1429" s="13">
        <f t="shared" si="70"/>
        <v>124.5</v>
      </c>
    </row>
    <row r="1430" spans="1:8" x14ac:dyDescent="0.25">
      <c r="A1430" s="2" t="str">
        <f>"MIO-30WNW11F"</f>
        <v>MIO-30WNW11F</v>
      </c>
      <c r="B1430" s="2" t="str">
        <f>"MIO Schienenstrahler, CoB LED, 34W, 36°, 3500K, Gehäuse weiß         "</f>
        <v xml:space="preserve">MIO Schienenstrahler, CoB LED, 34W, 36°, 3500K, Gehäuse weiß         </v>
      </c>
      <c r="C1430" s="16">
        <v>124.5</v>
      </c>
      <c r="D1430" s="11">
        <v>31</v>
      </c>
      <c r="E1430" s="7">
        <f t="shared" si="68"/>
        <v>1</v>
      </c>
      <c r="F1430" s="22" t="str">
        <f>IF(ISERROR(VLOOKUP($A1430,#REF!,3,0)),"x",VLOOKUP($A1430,#REF!,3,FALSE))</f>
        <v>x</v>
      </c>
      <c r="G1430" s="9">
        <f t="shared" si="69"/>
        <v>1</v>
      </c>
      <c r="H1430" s="13">
        <f t="shared" si="70"/>
        <v>124.5</v>
      </c>
    </row>
    <row r="1431" spans="1:8" x14ac:dyDescent="0.25">
      <c r="A1431" s="2" t="str">
        <f>"MIO-30WNW11S"</f>
        <v>MIO-30WNW11S</v>
      </c>
      <c r="B1431" s="2" t="str">
        <f>"MIO Schienenstrahler, CoB LED, 34W, 15°, 3500K, Gehäuse weiß    "</f>
        <v xml:space="preserve">MIO Schienenstrahler, CoB LED, 34W, 15°, 3500K, Gehäuse weiß    </v>
      </c>
      <c r="C1431" s="16">
        <v>124.5</v>
      </c>
      <c r="D1431" s="11">
        <v>31</v>
      </c>
      <c r="E1431" s="7">
        <f t="shared" si="68"/>
        <v>1</v>
      </c>
      <c r="F1431" s="22" t="str">
        <f>IF(ISERROR(VLOOKUP($A1431,#REF!,3,0)),"x",VLOOKUP($A1431,#REF!,3,FALSE))</f>
        <v>x</v>
      </c>
      <c r="G1431" s="9">
        <f t="shared" si="69"/>
        <v>1</v>
      </c>
      <c r="H1431" s="13">
        <f t="shared" si="70"/>
        <v>124.5</v>
      </c>
    </row>
    <row r="1432" spans="1:8" x14ac:dyDescent="0.25">
      <c r="A1432" s="2" t="str">
        <f>"MIO-30WNW12-60"</f>
        <v>MIO-30WNW12-60</v>
      </c>
      <c r="B1432" s="2" t="str">
        <f>"MIO Schienenstrahler, CoB LED, 34W, 60°, 3500K, Gehäuse schwarz         "</f>
        <v xml:space="preserve">MIO Schienenstrahler, CoB LED, 34W, 60°, 3500K, Gehäuse schwarz         </v>
      </c>
      <c r="C1432" s="16">
        <v>124.5</v>
      </c>
      <c r="D1432" s="11">
        <v>31</v>
      </c>
      <c r="E1432" s="7">
        <f t="shared" si="68"/>
        <v>1</v>
      </c>
      <c r="F1432" s="22" t="str">
        <f>IF(ISERROR(VLOOKUP($A1432,#REF!,3,0)),"x",VLOOKUP($A1432,#REF!,3,FALSE))</f>
        <v>x</v>
      </c>
      <c r="G1432" s="9">
        <f t="shared" si="69"/>
        <v>1</v>
      </c>
      <c r="H1432" s="13">
        <f t="shared" si="70"/>
        <v>124.5</v>
      </c>
    </row>
    <row r="1433" spans="1:8" x14ac:dyDescent="0.25">
      <c r="A1433" s="2" t="str">
        <f>"MIO-30WNW12F"</f>
        <v>MIO-30WNW12F</v>
      </c>
      <c r="B1433" s="2" t="str">
        <f>"MIO Schienenstrahler, CoB LED, 34W, 36°, 3500K, Gehäuse schwarz"</f>
        <v>MIO Schienenstrahler, CoB LED, 34W, 36°, 3500K, Gehäuse schwarz</v>
      </c>
      <c r="C1433" s="16">
        <v>124.5</v>
      </c>
      <c r="D1433" s="11">
        <v>31</v>
      </c>
      <c r="E1433" s="7">
        <f t="shared" si="68"/>
        <v>1</v>
      </c>
      <c r="F1433" s="22" t="str">
        <f>IF(ISERROR(VLOOKUP($A1433,#REF!,3,0)),"x",VLOOKUP($A1433,#REF!,3,FALSE))</f>
        <v>x</v>
      </c>
      <c r="G1433" s="9">
        <f t="shared" si="69"/>
        <v>1</v>
      </c>
      <c r="H1433" s="13">
        <f t="shared" si="70"/>
        <v>124.5</v>
      </c>
    </row>
    <row r="1434" spans="1:8" x14ac:dyDescent="0.25">
      <c r="A1434" s="2" t="str">
        <f>"MIO-30WNW12S"</f>
        <v>MIO-30WNW12S</v>
      </c>
      <c r="B1434" s="2" t="str">
        <f>"MIO Schienenstrahler, CoB LED, 34W, 15°, 3500K, Gehäuse schwarz           "</f>
        <v xml:space="preserve">MIO Schienenstrahler, CoB LED, 34W, 15°, 3500K, Gehäuse schwarz           </v>
      </c>
      <c r="C1434" s="16">
        <v>124.5</v>
      </c>
      <c r="D1434" s="11">
        <v>31</v>
      </c>
      <c r="E1434" s="7">
        <f t="shared" si="68"/>
        <v>1</v>
      </c>
      <c r="F1434" s="22" t="str">
        <f>IF(ISERROR(VLOOKUP($A1434,#REF!,3,0)),"x",VLOOKUP($A1434,#REF!,3,FALSE))</f>
        <v>x</v>
      </c>
      <c r="G1434" s="9">
        <f t="shared" si="69"/>
        <v>1</v>
      </c>
      <c r="H1434" s="13">
        <f t="shared" si="70"/>
        <v>124.5</v>
      </c>
    </row>
    <row r="1435" spans="1:8" x14ac:dyDescent="0.25">
      <c r="A1435" s="2" t="str">
        <f>"MIO-30WW11-60"</f>
        <v>MIO-30WW11-60</v>
      </c>
      <c r="B1435" s="2" t="str">
        <f>"MIO Schienenstrahler, CoB LED, 34W, 60°, 3000K, Gehäuse weiß"</f>
        <v>MIO Schienenstrahler, CoB LED, 34W, 60°, 3000K, Gehäuse weiß</v>
      </c>
      <c r="C1435" s="16">
        <v>124.5</v>
      </c>
      <c r="D1435" s="11">
        <v>31</v>
      </c>
      <c r="E1435" s="7">
        <f t="shared" si="68"/>
        <v>1</v>
      </c>
      <c r="F1435" s="22" t="str">
        <f>IF(ISERROR(VLOOKUP($A1435,#REF!,3,0)),"x",VLOOKUP($A1435,#REF!,3,FALSE))</f>
        <v>x</v>
      </c>
      <c r="G1435" s="9">
        <f t="shared" si="69"/>
        <v>1</v>
      </c>
      <c r="H1435" s="13">
        <f t="shared" si="70"/>
        <v>124.5</v>
      </c>
    </row>
    <row r="1436" spans="1:8" x14ac:dyDescent="0.25">
      <c r="A1436" s="2" t="str">
        <f>"MIO-30WW11F"</f>
        <v>MIO-30WW11F</v>
      </c>
      <c r="B1436" s="2" t="str">
        <f>"MIO Schienenstrahler, CoB LED, 34W, 36°, 3000K, Gehäuse weiß         "</f>
        <v xml:space="preserve">MIO Schienenstrahler, CoB LED, 34W, 36°, 3000K, Gehäuse weiß         </v>
      </c>
      <c r="C1436" s="16">
        <v>124.5</v>
      </c>
      <c r="D1436" s="11">
        <v>31</v>
      </c>
      <c r="E1436" s="7">
        <f t="shared" si="68"/>
        <v>1</v>
      </c>
      <c r="F1436" s="22" t="str">
        <f>IF(ISERROR(VLOOKUP($A1436,#REF!,3,0)),"x",VLOOKUP($A1436,#REF!,3,FALSE))</f>
        <v>x</v>
      </c>
      <c r="G1436" s="9">
        <f t="shared" si="69"/>
        <v>1</v>
      </c>
      <c r="H1436" s="13">
        <f t="shared" si="70"/>
        <v>124.5</v>
      </c>
    </row>
    <row r="1437" spans="1:8" x14ac:dyDescent="0.25">
      <c r="A1437" s="2" t="str">
        <f>"MIO-30WW11S"</f>
        <v>MIO-30WW11S</v>
      </c>
      <c r="B1437" s="2" t="str">
        <f>"MIO Schienenstrahler,  CoB LED, 34W,15°, 3000K, Gehäuse weiß"</f>
        <v>MIO Schienenstrahler,  CoB LED, 34W,15°, 3000K, Gehäuse weiß</v>
      </c>
      <c r="C1437" s="16">
        <v>124.5</v>
      </c>
      <c r="D1437" s="11">
        <v>31</v>
      </c>
      <c r="E1437" s="7">
        <f t="shared" si="68"/>
        <v>1</v>
      </c>
      <c r="F1437" s="22" t="str">
        <f>IF(ISERROR(VLOOKUP($A1437,#REF!,3,0)),"x",VLOOKUP($A1437,#REF!,3,FALSE))</f>
        <v>x</v>
      </c>
      <c r="G1437" s="9">
        <f t="shared" si="69"/>
        <v>1</v>
      </c>
      <c r="H1437" s="13">
        <f t="shared" si="70"/>
        <v>124.5</v>
      </c>
    </row>
    <row r="1438" spans="1:8" x14ac:dyDescent="0.25">
      <c r="A1438" s="2" t="str">
        <f>"MIO-30WW12-60"</f>
        <v>MIO-30WW12-60</v>
      </c>
      <c r="B1438" s="2" t="str">
        <f>"MIO Schienenstrahler, CoB LED, 34W, 60°, 3000K, Gehäuse schwarz         "</f>
        <v xml:space="preserve">MIO Schienenstrahler, CoB LED, 34W, 60°, 3000K, Gehäuse schwarz         </v>
      </c>
      <c r="C1438" s="16">
        <v>124.5</v>
      </c>
      <c r="D1438" s="11">
        <v>31</v>
      </c>
      <c r="E1438" s="7">
        <f t="shared" si="68"/>
        <v>1</v>
      </c>
      <c r="F1438" s="22" t="str">
        <f>IF(ISERROR(VLOOKUP($A1438,#REF!,3,0)),"x",VLOOKUP($A1438,#REF!,3,FALSE))</f>
        <v>x</v>
      </c>
      <c r="G1438" s="9">
        <f t="shared" si="69"/>
        <v>1</v>
      </c>
      <c r="H1438" s="13">
        <f t="shared" si="70"/>
        <v>124.5</v>
      </c>
    </row>
    <row r="1439" spans="1:8" x14ac:dyDescent="0.25">
      <c r="A1439" s="2" t="str">
        <f>"MIO-30WW12F"</f>
        <v>MIO-30WW12F</v>
      </c>
      <c r="B1439" s="2" t="str">
        <f>"MIO Schienenstrahler, CoB LED, 34W, 36°, 3000K, Gehäuse schwarz         "</f>
        <v xml:space="preserve">MIO Schienenstrahler, CoB LED, 34W, 36°, 3000K, Gehäuse schwarz         </v>
      </c>
      <c r="C1439" s="16">
        <v>124.5</v>
      </c>
      <c r="D1439" s="11">
        <v>31</v>
      </c>
      <c r="E1439" s="7">
        <f t="shared" si="68"/>
        <v>1</v>
      </c>
      <c r="F1439" s="22" t="str">
        <f>IF(ISERROR(VLOOKUP($A1439,#REF!,3,0)),"x",VLOOKUP($A1439,#REF!,3,FALSE))</f>
        <v>x</v>
      </c>
      <c r="G1439" s="9">
        <f t="shared" si="69"/>
        <v>1</v>
      </c>
      <c r="H1439" s="13">
        <f t="shared" si="70"/>
        <v>124.5</v>
      </c>
    </row>
    <row r="1440" spans="1:8" x14ac:dyDescent="0.25">
      <c r="A1440" s="2" t="str">
        <f>"MIO-30WW12S"</f>
        <v>MIO-30WW12S</v>
      </c>
      <c r="B1440" s="2" t="str">
        <f>"MIO Schienenstrahler, CoB LED, 34W, 15°, 3000K, Gehäuse schwarz"</f>
        <v>MIO Schienenstrahler, CoB LED, 34W, 15°, 3000K, Gehäuse schwarz</v>
      </c>
      <c r="C1440" s="16">
        <v>124.5</v>
      </c>
      <c r="D1440" s="11">
        <v>31</v>
      </c>
      <c r="E1440" s="7">
        <f t="shared" si="68"/>
        <v>1</v>
      </c>
      <c r="F1440" s="22" t="str">
        <f>IF(ISERROR(VLOOKUP($A1440,#REF!,3,0)),"x",VLOOKUP($A1440,#REF!,3,FALSE))</f>
        <v>x</v>
      </c>
      <c r="G1440" s="9">
        <f t="shared" si="69"/>
        <v>1</v>
      </c>
      <c r="H1440" s="13">
        <f t="shared" si="70"/>
        <v>124.5</v>
      </c>
    </row>
    <row r="1441" spans="1:8" x14ac:dyDescent="0.25">
      <c r="A1441" s="2" t="str">
        <f>"MIR-18NW1"</f>
        <v>MIR-18NW1</v>
      </c>
      <c r="B1441" s="2" t="str">
        <f>"MIRON Wandleuchte, LED 19W, 4000K, Ausstrahlwinkel 65°, weiß"</f>
        <v>MIRON Wandleuchte, LED 19W, 4000K, Ausstrahlwinkel 65°, weiß</v>
      </c>
      <c r="C1441" s="16">
        <v>360.5</v>
      </c>
      <c r="D1441" s="11">
        <v>291</v>
      </c>
      <c r="E1441" s="7">
        <f t="shared" si="68"/>
        <v>1</v>
      </c>
      <c r="F1441" s="22" t="str">
        <f>IF(ISERROR(VLOOKUP($A1441,#REF!,3,0)),"x",VLOOKUP($A1441,#REF!,3,FALSE))</f>
        <v>x</v>
      </c>
      <c r="G1441" s="9">
        <f t="shared" si="69"/>
        <v>1</v>
      </c>
      <c r="H1441" s="13">
        <f t="shared" si="70"/>
        <v>360.5</v>
      </c>
    </row>
    <row r="1442" spans="1:8" x14ac:dyDescent="0.25">
      <c r="A1442" s="2" t="str">
        <f>"MIR-18NW1A"</f>
        <v>MIR-18NW1A</v>
      </c>
      <c r="B1442" s="2" t="str">
        <f>"MIRON Wandleuchte, LED 19W, 4000K, asymmetrisch, weiß"</f>
        <v>MIRON Wandleuchte, LED 19W, 4000K, asymmetrisch, weiß</v>
      </c>
      <c r="C1442" s="16">
        <v>360.5</v>
      </c>
      <c r="D1442" s="11">
        <v>291</v>
      </c>
      <c r="E1442" s="7">
        <f t="shared" si="68"/>
        <v>1</v>
      </c>
      <c r="F1442" s="22" t="str">
        <f>IF(ISERROR(VLOOKUP($A1442,#REF!,3,0)),"x",VLOOKUP($A1442,#REF!,3,FALSE))</f>
        <v>x</v>
      </c>
      <c r="G1442" s="9">
        <f t="shared" si="69"/>
        <v>1</v>
      </c>
      <c r="H1442" s="13">
        <f t="shared" si="70"/>
        <v>360.5</v>
      </c>
    </row>
    <row r="1443" spans="1:8" x14ac:dyDescent="0.25">
      <c r="A1443" s="2" t="str">
        <f>"MIR-18NW1S"</f>
        <v>MIR-18NW1S</v>
      </c>
      <c r="B1443" s="2" t="str">
        <f>"MIRON Wandleuchte, LED 19W, 4000K, Ausstrahlwinkel 30°, weiß"</f>
        <v>MIRON Wandleuchte, LED 19W, 4000K, Ausstrahlwinkel 30°, weiß</v>
      </c>
      <c r="C1443" s="16">
        <v>360.5</v>
      </c>
      <c r="D1443" s="11">
        <v>291</v>
      </c>
      <c r="E1443" s="7">
        <f t="shared" si="68"/>
        <v>1</v>
      </c>
      <c r="F1443" s="22" t="str">
        <f>IF(ISERROR(VLOOKUP($A1443,#REF!,3,0)),"x",VLOOKUP($A1443,#REF!,3,FALSE))</f>
        <v>x</v>
      </c>
      <c r="G1443" s="9">
        <f t="shared" si="69"/>
        <v>1</v>
      </c>
      <c r="H1443" s="13">
        <f t="shared" si="70"/>
        <v>360.5</v>
      </c>
    </row>
    <row r="1444" spans="1:8" x14ac:dyDescent="0.25">
      <c r="A1444" s="2" t="str">
        <f>"MIR-18NW6"</f>
        <v>MIR-18NW6</v>
      </c>
      <c r="B1444" s="2" t="str">
        <f>"MIRON Wandleuchte, LED 19W, 4000K, Ausstrahlwinkel 65°, anthrazit"</f>
        <v>MIRON Wandleuchte, LED 19W, 4000K, Ausstrahlwinkel 65°, anthrazit</v>
      </c>
      <c r="C1444" s="16">
        <v>360.5</v>
      </c>
      <c r="D1444" s="11">
        <v>291</v>
      </c>
      <c r="E1444" s="7">
        <f t="shared" si="68"/>
        <v>1</v>
      </c>
      <c r="F1444" s="22" t="str">
        <f>IF(ISERROR(VLOOKUP($A1444,#REF!,3,0)),"x",VLOOKUP($A1444,#REF!,3,FALSE))</f>
        <v>x</v>
      </c>
      <c r="G1444" s="9">
        <f t="shared" si="69"/>
        <v>1</v>
      </c>
      <c r="H1444" s="13">
        <f t="shared" si="70"/>
        <v>360.5</v>
      </c>
    </row>
    <row r="1445" spans="1:8" x14ac:dyDescent="0.25">
      <c r="A1445" s="2" t="str">
        <f>"MIR-18NW6A"</f>
        <v>MIR-18NW6A</v>
      </c>
      <c r="B1445" s="2" t="str">
        <f>"MIRON Wandleuchte, LED 19W, 4000K, asymmetrisch, anthrazit"</f>
        <v>MIRON Wandleuchte, LED 19W, 4000K, asymmetrisch, anthrazit</v>
      </c>
      <c r="C1445" s="16">
        <v>360.5</v>
      </c>
      <c r="D1445" s="11">
        <v>291</v>
      </c>
      <c r="E1445" s="7">
        <f t="shared" si="68"/>
        <v>1</v>
      </c>
      <c r="F1445" s="22" t="str">
        <f>IF(ISERROR(VLOOKUP($A1445,#REF!,3,0)),"x",VLOOKUP($A1445,#REF!,3,FALSE))</f>
        <v>x</v>
      </c>
      <c r="G1445" s="9">
        <f t="shared" si="69"/>
        <v>1</v>
      </c>
      <c r="H1445" s="13">
        <f t="shared" si="70"/>
        <v>360.5</v>
      </c>
    </row>
    <row r="1446" spans="1:8" x14ac:dyDescent="0.25">
      <c r="A1446" s="2" t="str">
        <f>"MIR-18NW6S"</f>
        <v>MIR-18NW6S</v>
      </c>
      <c r="B1446" s="2" t="str">
        <f>"MIRON Wandleuchte, LED 19W, 4000K, Ausstrahlwinkel 30°, anthrazit"</f>
        <v>MIRON Wandleuchte, LED 19W, 4000K, Ausstrahlwinkel 30°, anthrazit</v>
      </c>
      <c r="C1446" s="16">
        <v>360.5</v>
      </c>
      <c r="D1446" s="11">
        <v>291</v>
      </c>
      <c r="E1446" s="7">
        <f t="shared" si="68"/>
        <v>1</v>
      </c>
      <c r="F1446" s="22" t="str">
        <f>IF(ISERROR(VLOOKUP($A1446,#REF!,3,0)),"x",VLOOKUP($A1446,#REF!,3,FALSE))</f>
        <v>x</v>
      </c>
      <c r="G1446" s="9">
        <f t="shared" si="69"/>
        <v>1</v>
      </c>
      <c r="H1446" s="13">
        <f t="shared" si="70"/>
        <v>360.5</v>
      </c>
    </row>
    <row r="1447" spans="1:8" x14ac:dyDescent="0.25">
      <c r="A1447" s="2" t="str">
        <f>"MIR-18NW7"</f>
        <v>MIR-18NW7</v>
      </c>
      <c r="B1447" s="2" t="str">
        <f>"MIRON Wandleuchte, LED 19W, 4000K, Ausstrahlwinkel 65°, alugrau"</f>
        <v>MIRON Wandleuchte, LED 19W, 4000K, Ausstrahlwinkel 65°, alugrau</v>
      </c>
      <c r="C1447" s="16">
        <v>360.5</v>
      </c>
      <c r="D1447" s="11">
        <v>291</v>
      </c>
      <c r="E1447" s="7">
        <f t="shared" si="68"/>
        <v>1</v>
      </c>
      <c r="F1447" s="22" t="str">
        <f>IF(ISERROR(VLOOKUP($A1447,#REF!,3,0)),"x",VLOOKUP($A1447,#REF!,3,FALSE))</f>
        <v>x</v>
      </c>
      <c r="G1447" s="9">
        <f t="shared" si="69"/>
        <v>1</v>
      </c>
      <c r="H1447" s="13">
        <f t="shared" si="70"/>
        <v>360.5</v>
      </c>
    </row>
    <row r="1448" spans="1:8" x14ac:dyDescent="0.25">
      <c r="A1448" s="2" t="str">
        <f>"MIR-18NW7A"</f>
        <v>MIR-18NW7A</v>
      </c>
      <c r="B1448" s="2" t="str">
        <f>"MIRON Wandleuchte, LED 19W, 4000K, asymmetrisch, alugrau"</f>
        <v>MIRON Wandleuchte, LED 19W, 4000K, asymmetrisch, alugrau</v>
      </c>
      <c r="C1448" s="16">
        <v>360.5</v>
      </c>
      <c r="D1448" s="11">
        <v>291</v>
      </c>
      <c r="E1448" s="7">
        <f t="shared" si="68"/>
        <v>1</v>
      </c>
      <c r="F1448" s="22" t="str">
        <f>IF(ISERROR(VLOOKUP($A1448,#REF!,3,0)),"x",VLOOKUP($A1448,#REF!,3,FALSE))</f>
        <v>x</v>
      </c>
      <c r="G1448" s="9">
        <f t="shared" si="69"/>
        <v>1</v>
      </c>
      <c r="H1448" s="13">
        <f t="shared" si="70"/>
        <v>360.5</v>
      </c>
    </row>
    <row r="1449" spans="1:8" x14ac:dyDescent="0.25">
      <c r="A1449" s="2" t="str">
        <f>"MIR-18NW7S"</f>
        <v>MIR-18NW7S</v>
      </c>
      <c r="B1449" s="2" t="str">
        <f>"MIRON Wandleuchte, LED 19W, 4000K, Ausstrahlwinkel 30°, alugrau"</f>
        <v>MIRON Wandleuchte, LED 19W, 4000K, Ausstrahlwinkel 30°, alugrau</v>
      </c>
      <c r="C1449" s="16">
        <v>360.5</v>
      </c>
      <c r="D1449" s="11">
        <v>291</v>
      </c>
      <c r="E1449" s="7">
        <f t="shared" si="68"/>
        <v>1</v>
      </c>
      <c r="F1449" s="22" t="str">
        <f>IF(ISERROR(VLOOKUP($A1449,#REF!,3,0)),"x",VLOOKUP($A1449,#REF!,3,FALSE))</f>
        <v>x</v>
      </c>
      <c r="G1449" s="9">
        <f t="shared" si="69"/>
        <v>1</v>
      </c>
      <c r="H1449" s="13">
        <f t="shared" si="70"/>
        <v>360.5</v>
      </c>
    </row>
    <row r="1450" spans="1:8" x14ac:dyDescent="0.25">
      <c r="A1450" s="2" t="str">
        <f>"MIR-18WW1"</f>
        <v>MIR-18WW1</v>
      </c>
      <c r="B1450" s="2" t="str">
        <f>"MIRON Wandleuchte, LED 19W, 3000K, Ausstrahlwinkel 65°, weiß"</f>
        <v>MIRON Wandleuchte, LED 19W, 3000K, Ausstrahlwinkel 65°, weiß</v>
      </c>
      <c r="C1450" s="16">
        <v>360.5</v>
      </c>
      <c r="D1450" s="11">
        <v>291</v>
      </c>
      <c r="E1450" s="7">
        <f t="shared" si="68"/>
        <v>1</v>
      </c>
      <c r="F1450" s="22" t="str">
        <f>IF(ISERROR(VLOOKUP($A1450,#REF!,3,0)),"x",VLOOKUP($A1450,#REF!,3,FALSE))</f>
        <v>x</v>
      </c>
      <c r="G1450" s="9">
        <f t="shared" si="69"/>
        <v>1</v>
      </c>
      <c r="H1450" s="13">
        <f t="shared" si="70"/>
        <v>360.5</v>
      </c>
    </row>
    <row r="1451" spans="1:8" x14ac:dyDescent="0.25">
      <c r="A1451" s="2" t="str">
        <f>"MIR-18WW1A"</f>
        <v>MIR-18WW1A</v>
      </c>
      <c r="B1451" s="2" t="str">
        <f>"MIRON Wandleuchte, LED 19W, 3000K, asymmetrisch, weiß"</f>
        <v>MIRON Wandleuchte, LED 19W, 3000K, asymmetrisch, weiß</v>
      </c>
      <c r="C1451" s="16">
        <v>360.5</v>
      </c>
      <c r="D1451" s="11">
        <v>291</v>
      </c>
      <c r="E1451" s="7">
        <f t="shared" si="68"/>
        <v>1</v>
      </c>
      <c r="F1451" s="22" t="str">
        <f>IF(ISERROR(VLOOKUP($A1451,#REF!,3,0)),"x",VLOOKUP($A1451,#REF!,3,FALSE))</f>
        <v>x</v>
      </c>
      <c r="G1451" s="9">
        <f t="shared" si="69"/>
        <v>1</v>
      </c>
      <c r="H1451" s="13">
        <f t="shared" si="70"/>
        <v>360.5</v>
      </c>
    </row>
    <row r="1452" spans="1:8" x14ac:dyDescent="0.25">
      <c r="A1452" s="2" t="str">
        <f>"MIR-18WW1S"</f>
        <v>MIR-18WW1S</v>
      </c>
      <c r="B1452" s="2" t="str">
        <f>"MIRON Wandleuchte, LED 19W, 3000K, Ausstrahlwinkel 30°, weiß"</f>
        <v>MIRON Wandleuchte, LED 19W, 3000K, Ausstrahlwinkel 30°, weiß</v>
      </c>
      <c r="C1452" s="16">
        <v>360.5</v>
      </c>
      <c r="D1452" s="11">
        <v>291</v>
      </c>
      <c r="E1452" s="7">
        <f t="shared" si="68"/>
        <v>1</v>
      </c>
      <c r="F1452" s="22" t="str">
        <f>IF(ISERROR(VLOOKUP($A1452,#REF!,3,0)),"x",VLOOKUP($A1452,#REF!,3,FALSE))</f>
        <v>x</v>
      </c>
      <c r="G1452" s="9">
        <f t="shared" si="69"/>
        <v>1</v>
      </c>
      <c r="H1452" s="13">
        <f t="shared" si="70"/>
        <v>360.5</v>
      </c>
    </row>
    <row r="1453" spans="1:8" x14ac:dyDescent="0.25">
      <c r="A1453" s="2" t="str">
        <f>"MIR-18WW6"</f>
        <v>MIR-18WW6</v>
      </c>
      <c r="B1453" s="2" t="str">
        <f>"MIRON Wandleuchte, LED 19W, 3000K, Ausstrahlwinkel 65°, anthrazit"</f>
        <v>MIRON Wandleuchte, LED 19W, 3000K, Ausstrahlwinkel 65°, anthrazit</v>
      </c>
      <c r="C1453" s="16">
        <v>360.5</v>
      </c>
      <c r="D1453" s="11">
        <v>291</v>
      </c>
      <c r="E1453" s="7">
        <f t="shared" si="68"/>
        <v>1</v>
      </c>
      <c r="F1453" s="22" t="str">
        <f>IF(ISERROR(VLOOKUP($A1453,#REF!,3,0)),"x",VLOOKUP($A1453,#REF!,3,FALSE))</f>
        <v>x</v>
      </c>
      <c r="G1453" s="9">
        <f t="shared" si="69"/>
        <v>1</v>
      </c>
      <c r="H1453" s="13">
        <f t="shared" si="70"/>
        <v>360.5</v>
      </c>
    </row>
    <row r="1454" spans="1:8" x14ac:dyDescent="0.25">
      <c r="A1454" s="2" t="str">
        <f>"MIR-18WW6A"</f>
        <v>MIR-18WW6A</v>
      </c>
      <c r="B1454" s="2" t="str">
        <f>"MIRON Wandleuchte, LED 19W, 3000K, asymmetrisch, anthrazit"</f>
        <v>MIRON Wandleuchte, LED 19W, 3000K, asymmetrisch, anthrazit</v>
      </c>
      <c r="C1454" s="16">
        <v>360.5</v>
      </c>
      <c r="D1454" s="11">
        <v>291</v>
      </c>
      <c r="E1454" s="7">
        <f t="shared" si="68"/>
        <v>1</v>
      </c>
      <c r="F1454" s="22" t="str">
        <f>IF(ISERROR(VLOOKUP($A1454,#REF!,3,0)),"x",VLOOKUP($A1454,#REF!,3,FALSE))</f>
        <v>x</v>
      </c>
      <c r="G1454" s="9">
        <f t="shared" si="69"/>
        <v>1</v>
      </c>
      <c r="H1454" s="13">
        <f t="shared" si="70"/>
        <v>360.5</v>
      </c>
    </row>
    <row r="1455" spans="1:8" x14ac:dyDescent="0.25">
      <c r="A1455" s="2" t="str">
        <f>"MIR-18WW6S"</f>
        <v>MIR-18WW6S</v>
      </c>
      <c r="B1455" s="2" t="str">
        <f>"MIRON Wandleuchte, LED 19W, 3000K, Ausstrahlwinkel 30°, anthrazit"</f>
        <v>MIRON Wandleuchte, LED 19W, 3000K, Ausstrahlwinkel 30°, anthrazit</v>
      </c>
      <c r="C1455" s="16">
        <v>360.5</v>
      </c>
      <c r="D1455" s="11">
        <v>291</v>
      </c>
      <c r="E1455" s="7">
        <f t="shared" si="68"/>
        <v>1</v>
      </c>
      <c r="F1455" s="22" t="str">
        <f>IF(ISERROR(VLOOKUP($A1455,#REF!,3,0)),"x",VLOOKUP($A1455,#REF!,3,FALSE))</f>
        <v>x</v>
      </c>
      <c r="G1455" s="9">
        <f t="shared" si="69"/>
        <v>1</v>
      </c>
      <c r="H1455" s="13">
        <f t="shared" si="70"/>
        <v>360.5</v>
      </c>
    </row>
    <row r="1456" spans="1:8" x14ac:dyDescent="0.25">
      <c r="A1456" s="2" t="str">
        <f>"MIR-18WW7"</f>
        <v>MIR-18WW7</v>
      </c>
      <c r="B1456" s="2" t="str">
        <f>"MIRON Wandleuchte, LED 19W, 3000K, Ausstrahlwinkel 65°, metallgrau"</f>
        <v>MIRON Wandleuchte, LED 19W, 3000K, Ausstrahlwinkel 65°, metallgrau</v>
      </c>
      <c r="C1456" s="16">
        <v>360.5</v>
      </c>
      <c r="D1456" s="11">
        <v>291</v>
      </c>
      <c r="E1456" s="7">
        <f t="shared" si="68"/>
        <v>1</v>
      </c>
      <c r="F1456" s="22" t="str">
        <f>IF(ISERROR(VLOOKUP($A1456,#REF!,3,0)),"x",VLOOKUP($A1456,#REF!,3,FALSE))</f>
        <v>x</v>
      </c>
      <c r="G1456" s="9">
        <f t="shared" si="69"/>
        <v>1</v>
      </c>
      <c r="H1456" s="13">
        <f t="shared" si="70"/>
        <v>360.5</v>
      </c>
    </row>
    <row r="1457" spans="1:8" x14ac:dyDescent="0.25">
      <c r="A1457" s="2" t="str">
        <f>"MIR-18WW7A"</f>
        <v>MIR-18WW7A</v>
      </c>
      <c r="B1457" s="2" t="str">
        <f>"MIRON Wandleuchte, LED 19W, 3000K, asymmetrisch, metallgrau"</f>
        <v>MIRON Wandleuchte, LED 19W, 3000K, asymmetrisch, metallgrau</v>
      </c>
      <c r="C1457" s="16">
        <v>360.5</v>
      </c>
      <c r="D1457" s="11">
        <v>291</v>
      </c>
      <c r="E1457" s="7">
        <f t="shared" si="68"/>
        <v>1</v>
      </c>
      <c r="F1457" s="22" t="str">
        <f>IF(ISERROR(VLOOKUP($A1457,#REF!,3,0)),"x",VLOOKUP($A1457,#REF!,3,FALSE))</f>
        <v>x</v>
      </c>
      <c r="G1457" s="9">
        <f t="shared" si="69"/>
        <v>1</v>
      </c>
      <c r="H1457" s="13">
        <f t="shared" si="70"/>
        <v>360.5</v>
      </c>
    </row>
    <row r="1458" spans="1:8" x14ac:dyDescent="0.25">
      <c r="A1458" s="2" t="str">
        <f>"MIR-18WW7S"</f>
        <v>MIR-18WW7S</v>
      </c>
      <c r="B1458" s="2" t="str">
        <f>"MIRON Wandleuchte, LED 19W, 3000K, Ausstrahlwinkel 30°, metallgrau"</f>
        <v>MIRON Wandleuchte, LED 19W, 3000K, Ausstrahlwinkel 30°, metallgrau</v>
      </c>
      <c r="C1458" s="16">
        <v>360.5</v>
      </c>
      <c r="D1458" s="11">
        <v>291</v>
      </c>
      <c r="E1458" s="7">
        <f t="shared" si="68"/>
        <v>1</v>
      </c>
      <c r="F1458" s="22" t="str">
        <f>IF(ISERROR(VLOOKUP($A1458,#REF!,3,0)),"x",VLOOKUP($A1458,#REF!,3,FALSE))</f>
        <v>x</v>
      </c>
      <c r="G1458" s="9">
        <f t="shared" si="69"/>
        <v>1</v>
      </c>
      <c r="H1458" s="13">
        <f t="shared" si="70"/>
        <v>360.5</v>
      </c>
    </row>
    <row r="1459" spans="1:8" x14ac:dyDescent="0.25">
      <c r="A1459" s="2" t="str">
        <f>"MIRF-18NW1"</f>
        <v>MIRF-18NW1</v>
      </c>
      <c r="B1459" s="2" t="str">
        <f>"MIRON Wandleuchte, LED 19W, 4000K, Ausstrahlwinkel 120°, weiß"</f>
        <v>MIRON Wandleuchte, LED 19W, 4000K, Ausstrahlwinkel 120°, weiß</v>
      </c>
      <c r="C1459" s="16">
        <v>360.5</v>
      </c>
      <c r="D1459" s="11">
        <v>291</v>
      </c>
      <c r="E1459" s="7">
        <f t="shared" si="68"/>
        <v>1</v>
      </c>
      <c r="F1459" s="22" t="str">
        <f>IF(ISERROR(VLOOKUP($A1459,#REF!,3,0)),"x",VLOOKUP($A1459,#REF!,3,FALSE))</f>
        <v>x</v>
      </c>
      <c r="G1459" s="9">
        <f t="shared" si="69"/>
        <v>1</v>
      </c>
      <c r="H1459" s="13">
        <f t="shared" si="70"/>
        <v>360.5</v>
      </c>
    </row>
    <row r="1460" spans="1:8" x14ac:dyDescent="0.25">
      <c r="A1460" s="2" t="str">
        <f>"MIRF-18NW6"</f>
        <v>MIRF-18NW6</v>
      </c>
      <c r="B1460" s="2" t="str">
        <f>"MIRON Wandleuchte, LED 19W, 4000K, Ausstrahlwinkel 120°, anthrazit"</f>
        <v>MIRON Wandleuchte, LED 19W, 4000K, Ausstrahlwinkel 120°, anthrazit</v>
      </c>
      <c r="C1460" s="16">
        <v>360.5</v>
      </c>
      <c r="D1460" s="11">
        <v>291</v>
      </c>
      <c r="E1460" s="7">
        <f t="shared" si="68"/>
        <v>1</v>
      </c>
      <c r="F1460" s="22" t="str">
        <f>IF(ISERROR(VLOOKUP($A1460,#REF!,3,0)),"x",VLOOKUP($A1460,#REF!,3,FALSE))</f>
        <v>x</v>
      </c>
      <c r="G1460" s="9">
        <f t="shared" si="69"/>
        <v>1</v>
      </c>
      <c r="H1460" s="13">
        <f t="shared" si="70"/>
        <v>360.5</v>
      </c>
    </row>
    <row r="1461" spans="1:8" x14ac:dyDescent="0.25">
      <c r="A1461" s="2" t="str">
        <f>"MIRF-18NW7"</f>
        <v>MIRF-18NW7</v>
      </c>
      <c r="B1461" s="2" t="str">
        <f>"MIRON Wandleuchte, LED 19W, 4000K, Ausstrahlwinkel 120°, alugrau"</f>
        <v>MIRON Wandleuchte, LED 19W, 4000K, Ausstrahlwinkel 120°, alugrau</v>
      </c>
      <c r="C1461" s="16">
        <v>360.5</v>
      </c>
      <c r="D1461" s="11">
        <v>291</v>
      </c>
      <c r="E1461" s="7">
        <f t="shared" si="68"/>
        <v>1</v>
      </c>
      <c r="F1461" s="22" t="str">
        <f>IF(ISERROR(VLOOKUP($A1461,#REF!,3,0)),"x",VLOOKUP($A1461,#REF!,3,FALSE))</f>
        <v>x</v>
      </c>
      <c r="G1461" s="9">
        <f t="shared" si="69"/>
        <v>1</v>
      </c>
      <c r="H1461" s="13">
        <f t="shared" si="70"/>
        <v>360.5</v>
      </c>
    </row>
    <row r="1462" spans="1:8" x14ac:dyDescent="0.25">
      <c r="A1462" s="2" t="str">
        <f>"MIRF-18WW1"</f>
        <v>MIRF-18WW1</v>
      </c>
      <c r="B1462" s="2" t="str">
        <f>"MIRON Wandleuchte, LED 19W, 3000K, Ausstrahlwinkel 120°, weiss"</f>
        <v>MIRON Wandleuchte, LED 19W, 3000K, Ausstrahlwinkel 120°, weiss</v>
      </c>
      <c r="C1462" s="16">
        <v>360.5</v>
      </c>
      <c r="D1462" s="11">
        <v>291</v>
      </c>
      <c r="E1462" s="7">
        <f t="shared" si="68"/>
        <v>1</v>
      </c>
      <c r="F1462" s="22" t="str">
        <f>IF(ISERROR(VLOOKUP($A1462,#REF!,3,0)),"x",VLOOKUP($A1462,#REF!,3,FALSE))</f>
        <v>x</v>
      </c>
      <c r="G1462" s="9">
        <f t="shared" si="69"/>
        <v>1</v>
      </c>
      <c r="H1462" s="13">
        <f t="shared" si="70"/>
        <v>360.5</v>
      </c>
    </row>
    <row r="1463" spans="1:8" x14ac:dyDescent="0.25">
      <c r="A1463" s="2" t="str">
        <f>"MIRF-18WW6"</f>
        <v>MIRF-18WW6</v>
      </c>
      <c r="B1463" s="2" t="str">
        <f>"MIRON Wandleuchte, LED 19W, 3000K, Ausstrahlwinkel 120°, anthrazit"</f>
        <v>MIRON Wandleuchte, LED 19W, 3000K, Ausstrahlwinkel 120°, anthrazit</v>
      </c>
      <c r="C1463" s="16">
        <v>360.5</v>
      </c>
      <c r="D1463" s="11">
        <v>291</v>
      </c>
      <c r="E1463" s="7">
        <f t="shared" si="68"/>
        <v>1</v>
      </c>
      <c r="F1463" s="22" t="str">
        <f>IF(ISERROR(VLOOKUP($A1463,#REF!,3,0)),"x",VLOOKUP($A1463,#REF!,3,FALSE))</f>
        <v>x</v>
      </c>
      <c r="G1463" s="9">
        <f t="shared" si="69"/>
        <v>1</v>
      </c>
      <c r="H1463" s="13">
        <f t="shared" si="70"/>
        <v>360.5</v>
      </c>
    </row>
    <row r="1464" spans="1:8" x14ac:dyDescent="0.25">
      <c r="A1464" s="2" t="str">
        <f>"MIRF-18WW7"</f>
        <v>MIRF-18WW7</v>
      </c>
      <c r="B1464" s="2" t="str">
        <f>"MIRON Wandleuchte, LED 19W, 3000K, Ausstrahlwinkel 120°, metallgrau"</f>
        <v>MIRON Wandleuchte, LED 19W, 3000K, Ausstrahlwinkel 120°, metallgrau</v>
      </c>
      <c r="C1464" s="16">
        <v>360.5</v>
      </c>
      <c r="D1464" s="11">
        <v>291</v>
      </c>
      <c r="E1464" s="7">
        <f t="shared" si="68"/>
        <v>1</v>
      </c>
      <c r="F1464" s="22" t="str">
        <f>IF(ISERROR(VLOOKUP($A1464,#REF!,3,0)),"x",VLOOKUP($A1464,#REF!,3,FALSE))</f>
        <v>x</v>
      </c>
      <c r="G1464" s="9">
        <f t="shared" si="69"/>
        <v>1</v>
      </c>
      <c r="H1464" s="13">
        <f t="shared" si="70"/>
        <v>360.5</v>
      </c>
    </row>
    <row r="1465" spans="1:8" x14ac:dyDescent="0.25">
      <c r="A1465" s="2" t="str">
        <f>"MIRMA-40NW1"</f>
        <v>MIRMA-40NW1</v>
      </c>
      <c r="B1465" s="2" t="str">
        <f>"MIRON Wandleuchte, LED 39W, 4000K, Ausstrahlwinkel 65°, weiß"</f>
        <v>MIRON Wandleuchte, LED 39W, 4000K, Ausstrahlwinkel 65°, weiß</v>
      </c>
      <c r="C1465" s="16">
        <v>432.5</v>
      </c>
      <c r="D1465" s="11">
        <v>291</v>
      </c>
      <c r="E1465" s="7">
        <f t="shared" si="68"/>
        <v>1</v>
      </c>
      <c r="F1465" s="22" t="str">
        <f>IF(ISERROR(VLOOKUP($A1465,#REF!,3,0)),"x",VLOOKUP($A1465,#REF!,3,FALSE))</f>
        <v>x</v>
      </c>
      <c r="G1465" s="9">
        <f t="shared" si="69"/>
        <v>1</v>
      </c>
      <c r="H1465" s="13">
        <f t="shared" si="70"/>
        <v>432.5</v>
      </c>
    </row>
    <row r="1466" spans="1:8" x14ac:dyDescent="0.25">
      <c r="A1466" s="2" t="str">
        <f>"MIRMA-40NW1A"</f>
        <v>MIRMA-40NW1A</v>
      </c>
      <c r="B1466" s="2" t="str">
        <f>"MIRON Wandleuchte, LED 39W, 4000K, asymmetrisch, weiß"</f>
        <v>MIRON Wandleuchte, LED 39W, 4000K, asymmetrisch, weiß</v>
      </c>
      <c r="C1466" s="16">
        <v>432.5</v>
      </c>
      <c r="D1466" s="11">
        <v>291</v>
      </c>
      <c r="E1466" s="7">
        <f t="shared" si="68"/>
        <v>1</v>
      </c>
      <c r="F1466" s="22" t="str">
        <f>IF(ISERROR(VLOOKUP($A1466,#REF!,3,0)),"x",VLOOKUP($A1466,#REF!,3,FALSE))</f>
        <v>x</v>
      </c>
      <c r="G1466" s="9">
        <f t="shared" si="69"/>
        <v>1</v>
      </c>
      <c r="H1466" s="13">
        <f t="shared" si="70"/>
        <v>432.5</v>
      </c>
    </row>
    <row r="1467" spans="1:8" x14ac:dyDescent="0.25">
      <c r="A1467" s="2" t="str">
        <f>"MIRMA-40NW1S"</f>
        <v>MIRMA-40NW1S</v>
      </c>
      <c r="B1467" s="2" t="str">
        <f>"MIRON Wandleuchte, LED 39W, 4000K, Ausstrahlwinkel 30°, weiß"</f>
        <v>MIRON Wandleuchte, LED 39W, 4000K, Ausstrahlwinkel 30°, weiß</v>
      </c>
      <c r="C1467" s="16">
        <v>432.5</v>
      </c>
      <c r="D1467" s="11">
        <v>291</v>
      </c>
      <c r="E1467" s="7">
        <f t="shared" si="68"/>
        <v>1</v>
      </c>
      <c r="F1467" s="22" t="str">
        <f>IF(ISERROR(VLOOKUP($A1467,#REF!,3,0)),"x",VLOOKUP($A1467,#REF!,3,FALSE))</f>
        <v>x</v>
      </c>
      <c r="G1467" s="9">
        <f t="shared" si="69"/>
        <v>1</v>
      </c>
      <c r="H1467" s="13">
        <f t="shared" si="70"/>
        <v>432.5</v>
      </c>
    </row>
    <row r="1468" spans="1:8" x14ac:dyDescent="0.25">
      <c r="A1468" s="2" t="str">
        <f>"MIRMA-40NW6"</f>
        <v>MIRMA-40NW6</v>
      </c>
      <c r="B1468" s="2" t="str">
        <f>"MIRON Wandleuchte, LED 39W, 4000K, Ausstrahlwinkel 65°, anthrazit"</f>
        <v>MIRON Wandleuchte, LED 39W, 4000K, Ausstrahlwinkel 65°, anthrazit</v>
      </c>
      <c r="C1468" s="16">
        <v>432.5</v>
      </c>
      <c r="D1468" s="11">
        <v>291</v>
      </c>
      <c r="E1468" s="7">
        <f t="shared" si="68"/>
        <v>1</v>
      </c>
      <c r="F1468" s="22" t="str">
        <f>IF(ISERROR(VLOOKUP($A1468,#REF!,3,0)),"x",VLOOKUP($A1468,#REF!,3,FALSE))</f>
        <v>x</v>
      </c>
      <c r="G1468" s="9">
        <f t="shared" si="69"/>
        <v>1</v>
      </c>
      <c r="H1468" s="13">
        <f t="shared" si="70"/>
        <v>432.5</v>
      </c>
    </row>
    <row r="1469" spans="1:8" x14ac:dyDescent="0.25">
      <c r="A1469" s="2" t="str">
        <f>"MIRMA-40NW6A"</f>
        <v>MIRMA-40NW6A</v>
      </c>
      <c r="B1469" s="2" t="str">
        <f>"MIRON Wandleuchte, LED 39W, 4000K, asymmetrisch, anthrazit"</f>
        <v>MIRON Wandleuchte, LED 39W, 4000K, asymmetrisch, anthrazit</v>
      </c>
      <c r="C1469" s="16">
        <v>432.5</v>
      </c>
      <c r="D1469" s="11">
        <v>291</v>
      </c>
      <c r="E1469" s="7">
        <f t="shared" si="68"/>
        <v>1</v>
      </c>
      <c r="F1469" s="22" t="str">
        <f>IF(ISERROR(VLOOKUP($A1469,#REF!,3,0)),"x",VLOOKUP($A1469,#REF!,3,FALSE))</f>
        <v>x</v>
      </c>
      <c r="G1469" s="9">
        <f t="shared" si="69"/>
        <v>1</v>
      </c>
      <c r="H1469" s="13">
        <f t="shared" si="70"/>
        <v>432.5</v>
      </c>
    </row>
    <row r="1470" spans="1:8" x14ac:dyDescent="0.25">
      <c r="A1470" s="2" t="str">
        <f>"MIRMA-40NW6S"</f>
        <v>MIRMA-40NW6S</v>
      </c>
      <c r="B1470" s="2" t="str">
        <f>"MIRON Wandleuchte, LED 39W, 4000K, Ausstrahlwinkel 30°, anthrazit"</f>
        <v>MIRON Wandleuchte, LED 39W, 4000K, Ausstrahlwinkel 30°, anthrazit</v>
      </c>
      <c r="C1470" s="16">
        <v>432.5</v>
      </c>
      <c r="D1470" s="11">
        <v>291</v>
      </c>
      <c r="E1470" s="7">
        <f t="shared" si="68"/>
        <v>1</v>
      </c>
      <c r="F1470" s="22" t="str">
        <f>IF(ISERROR(VLOOKUP($A1470,#REF!,3,0)),"x",VLOOKUP($A1470,#REF!,3,FALSE))</f>
        <v>x</v>
      </c>
      <c r="G1470" s="9">
        <f t="shared" si="69"/>
        <v>1</v>
      </c>
      <c r="H1470" s="13">
        <f t="shared" si="70"/>
        <v>432.5</v>
      </c>
    </row>
    <row r="1471" spans="1:8" x14ac:dyDescent="0.25">
      <c r="A1471" s="2" t="str">
        <f>"MIRMA-40NW7"</f>
        <v>MIRMA-40NW7</v>
      </c>
      <c r="B1471" s="2" t="str">
        <f>"MIRON Wandleuchte, LED 39W, 4000K, Ausstrahlwinkel 65°, alugrau"</f>
        <v>MIRON Wandleuchte, LED 39W, 4000K, Ausstrahlwinkel 65°, alugrau</v>
      </c>
      <c r="C1471" s="16">
        <v>432.5</v>
      </c>
      <c r="D1471" s="11">
        <v>291</v>
      </c>
      <c r="E1471" s="7">
        <f t="shared" si="68"/>
        <v>1</v>
      </c>
      <c r="F1471" s="22" t="str">
        <f>IF(ISERROR(VLOOKUP($A1471,#REF!,3,0)),"x",VLOOKUP($A1471,#REF!,3,FALSE))</f>
        <v>x</v>
      </c>
      <c r="G1471" s="9">
        <f t="shared" si="69"/>
        <v>1</v>
      </c>
      <c r="H1471" s="13">
        <f t="shared" si="70"/>
        <v>432.5</v>
      </c>
    </row>
    <row r="1472" spans="1:8" x14ac:dyDescent="0.25">
      <c r="A1472" s="2" t="str">
        <f>"MIRMA-40NW7A"</f>
        <v>MIRMA-40NW7A</v>
      </c>
      <c r="B1472" s="2" t="str">
        <f>"MIRON Wandleuchte, LED 39W, 4000K, asymmetrisch, alugrau"</f>
        <v>MIRON Wandleuchte, LED 39W, 4000K, asymmetrisch, alugrau</v>
      </c>
      <c r="C1472" s="16">
        <v>432.5</v>
      </c>
      <c r="D1472" s="11">
        <v>291</v>
      </c>
      <c r="E1472" s="7">
        <f t="shared" si="68"/>
        <v>1</v>
      </c>
      <c r="F1472" s="22" t="str">
        <f>IF(ISERROR(VLOOKUP($A1472,#REF!,3,0)),"x",VLOOKUP($A1472,#REF!,3,FALSE))</f>
        <v>x</v>
      </c>
      <c r="G1472" s="9">
        <f t="shared" si="69"/>
        <v>1</v>
      </c>
      <c r="H1472" s="13">
        <f t="shared" si="70"/>
        <v>432.5</v>
      </c>
    </row>
    <row r="1473" spans="1:8" x14ac:dyDescent="0.25">
      <c r="A1473" s="2" t="str">
        <f>"MIRMA-40NW7S"</f>
        <v>MIRMA-40NW7S</v>
      </c>
      <c r="B1473" s="2" t="str">
        <f>"MIRON Wandleuchte, LED 39W, 4000K, Ausstrahlwinkel 30°, alugrau"</f>
        <v>MIRON Wandleuchte, LED 39W, 4000K, Ausstrahlwinkel 30°, alugrau</v>
      </c>
      <c r="C1473" s="16">
        <v>432.5</v>
      </c>
      <c r="D1473" s="11">
        <v>291</v>
      </c>
      <c r="E1473" s="7">
        <f t="shared" si="68"/>
        <v>1</v>
      </c>
      <c r="F1473" s="22" t="str">
        <f>IF(ISERROR(VLOOKUP($A1473,#REF!,3,0)),"x",VLOOKUP($A1473,#REF!,3,FALSE))</f>
        <v>x</v>
      </c>
      <c r="G1473" s="9">
        <f t="shared" si="69"/>
        <v>1</v>
      </c>
      <c r="H1473" s="13">
        <f t="shared" si="70"/>
        <v>432.5</v>
      </c>
    </row>
    <row r="1474" spans="1:8" x14ac:dyDescent="0.25">
      <c r="A1474" s="2" t="str">
        <f>"MIRMA-40WW1"</f>
        <v>MIRMA-40WW1</v>
      </c>
      <c r="B1474" s="2" t="str">
        <f>"MIRON Wandleuchte, LED 39W, 3000K, Ausstrahlwinkel 65°, weiß"</f>
        <v>MIRON Wandleuchte, LED 39W, 3000K, Ausstrahlwinkel 65°, weiß</v>
      </c>
      <c r="C1474" s="16">
        <v>432.5</v>
      </c>
      <c r="D1474" s="11">
        <v>291</v>
      </c>
      <c r="E1474" s="7">
        <f t="shared" si="68"/>
        <v>1</v>
      </c>
      <c r="F1474" s="22" t="str">
        <f>IF(ISERROR(VLOOKUP($A1474,#REF!,3,0)),"x",VLOOKUP($A1474,#REF!,3,FALSE))</f>
        <v>x</v>
      </c>
      <c r="G1474" s="9">
        <f t="shared" si="69"/>
        <v>1</v>
      </c>
      <c r="H1474" s="13">
        <f t="shared" si="70"/>
        <v>432.5</v>
      </c>
    </row>
    <row r="1475" spans="1:8" x14ac:dyDescent="0.25">
      <c r="A1475" s="2" t="str">
        <f>"MIRMA-40WW1A"</f>
        <v>MIRMA-40WW1A</v>
      </c>
      <c r="B1475" s="2" t="str">
        <f>"MIRON Wandleuchte, LED 39W, 3000K, asymmetrisch, weiß"</f>
        <v>MIRON Wandleuchte, LED 39W, 3000K, asymmetrisch, weiß</v>
      </c>
      <c r="C1475" s="16">
        <v>432.5</v>
      </c>
      <c r="D1475" s="11">
        <v>291</v>
      </c>
      <c r="E1475" s="7">
        <f t="shared" ref="E1475:E1538" si="71">G1475</f>
        <v>1</v>
      </c>
      <c r="F1475" s="22" t="str">
        <f>IF(ISERROR(VLOOKUP($A1475,#REF!,3,0)),"x",VLOOKUP($A1475,#REF!,3,FALSE))</f>
        <v>x</v>
      </c>
      <c r="G1475" s="9">
        <f t="shared" ref="G1475:G1538" si="72">IF(C1475&lt;F1475,1,IF(C1475&gt;F1475,-1,0))</f>
        <v>1</v>
      </c>
      <c r="H1475" s="13">
        <f t="shared" si="70"/>
        <v>432.5</v>
      </c>
    </row>
    <row r="1476" spans="1:8" x14ac:dyDescent="0.25">
      <c r="A1476" s="2" t="str">
        <f>"MIRMA-40WW1S"</f>
        <v>MIRMA-40WW1S</v>
      </c>
      <c r="B1476" s="2" t="str">
        <f>"MIRON Wandleuchte, LED 39W, 3000K, Ausstrahlwinkel 30°, weiß"</f>
        <v>MIRON Wandleuchte, LED 39W, 3000K, Ausstrahlwinkel 30°, weiß</v>
      </c>
      <c r="C1476" s="16">
        <v>432.5</v>
      </c>
      <c r="D1476" s="11">
        <v>291</v>
      </c>
      <c r="E1476" s="7">
        <f t="shared" si="71"/>
        <v>1</v>
      </c>
      <c r="F1476" s="22" t="str">
        <f>IF(ISERROR(VLOOKUP($A1476,#REF!,3,0)),"x",VLOOKUP($A1476,#REF!,3,FALSE))</f>
        <v>x</v>
      </c>
      <c r="G1476" s="9">
        <f t="shared" si="72"/>
        <v>1</v>
      </c>
      <c r="H1476" s="13">
        <f t="shared" si="70"/>
        <v>432.5</v>
      </c>
    </row>
    <row r="1477" spans="1:8" x14ac:dyDescent="0.25">
      <c r="A1477" s="2" t="str">
        <f>"MIRMA-40WW6"</f>
        <v>MIRMA-40WW6</v>
      </c>
      <c r="B1477" s="2" t="str">
        <f>"MIRON Wandleuchte, LED 39W, 3000K, Ausstrahlwinkel 65°, anthrazit"</f>
        <v>MIRON Wandleuchte, LED 39W, 3000K, Ausstrahlwinkel 65°, anthrazit</v>
      </c>
      <c r="C1477" s="16">
        <v>432.5</v>
      </c>
      <c r="D1477" s="11">
        <v>291</v>
      </c>
      <c r="E1477" s="7">
        <f t="shared" si="71"/>
        <v>1</v>
      </c>
      <c r="F1477" s="22" t="str">
        <f>IF(ISERROR(VLOOKUP($A1477,#REF!,3,0)),"x",VLOOKUP($A1477,#REF!,3,FALSE))</f>
        <v>x</v>
      </c>
      <c r="G1477" s="9">
        <f t="shared" si="72"/>
        <v>1</v>
      </c>
      <c r="H1477" s="13">
        <f t="shared" ref="H1477:H1540" si="73">IF(F1477="x",C1477,F1477)</f>
        <v>432.5</v>
      </c>
    </row>
    <row r="1478" spans="1:8" x14ac:dyDescent="0.25">
      <c r="A1478" s="2" t="str">
        <f>"MIRMA-40WW6A"</f>
        <v>MIRMA-40WW6A</v>
      </c>
      <c r="B1478" s="2" t="str">
        <f>"MIRON Wandleuchte, LED 39W, 3000K, asymmetrisch, anthrazit"</f>
        <v>MIRON Wandleuchte, LED 39W, 3000K, asymmetrisch, anthrazit</v>
      </c>
      <c r="C1478" s="16">
        <v>432.5</v>
      </c>
      <c r="D1478" s="11">
        <v>291</v>
      </c>
      <c r="E1478" s="7">
        <f t="shared" si="71"/>
        <v>1</v>
      </c>
      <c r="F1478" s="22" t="str">
        <f>IF(ISERROR(VLOOKUP($A1478,#REF!,3,0)),"x",VLOOKUP($A1478,#REF!,3,FALSE))</f>
        <v>x</v>
      </c>
      <c r="G1478" s="9">
        <f t="shared" si="72"/>
        <v>1</v>
      </c>
      <c r="H1478" s="13">
        <f t="shared" si="73"/>
        <v>432.5</v>
      </c>
    </row>
    <row r="1479" spans="1:8" x14ac:dyDescent="0.25">
      <c r="A1479" s="2" t="str">
        <f>"MIRMA-40WW6S"</f>
        <v>MIRMA-40WW6S</v>
      </c>
      <c r="B1479" s="2" t="str">
        <f>"MIRON Wandleuchte, LED 39W, 3000K, Ausstrahlwinkel 30°, anthrazit"</f>
        <v>MIRON Wandleuchte, LED 39W, 3000K, Ausstrahlwinkel 30°, anthrazit</v>
      </c>
      <c r="C1479" s="16">
        <v>432.5</v>
      </c>
      <c r="D1479" s="11">
        <v>291</v>
      </c>
      <c r="E1479" s="7">
        <f t="shared" si="71"/>
        <v>1</v>
      </c>
      <c r="F1479" s="22" t="str">
        <f>IF(ISERROR(VLOOKUP($A1479,#REF!,3,0)),"x",VLOOKUP($A1479,#REF!,3,FALSE))</f>
        <v>x</v>
      </c>
      <c r="G1479" s="9">
        <f t="shared" si="72"/>
        <v>1</v>
      </c>
      <c r="H1479" s="13">
        <f t="shared" si="73"/>
        <v>432.5</v>
      </c>
    </row>
    <row r="1480" spans="1:8" x14ac:dyDescent="0.25">
      <c r="A1480" s="2" t="str">
        <f>"MIRMA-40WW7"</f>
        <v>MIRMA-40WW7</v>
      </c>
      <c r="B1480" s="2" t="str">
        <f>"MIRON Wandleuchte, LED 39W, 3000K, Ausstrahlwinkel 65°, metallgrau"</f>
        <v>MIRON Wandleuchte, LED 39W, 3000K, Ausstrahlwinkel 65°, metallgrau</v>
      </c>
      <c r="C1480" s="16">
        <v>432.5</v>
      </c>
      <c r="D1480" s="11">
        <v>291</v>
      </c>
      <c r="E1480" s="7">
        <f t="shared" si="71"/>
        <v>1</v>
      </c>
      <c r="F1480" s="22" t="str">
        <f>IF(ISERROR(VLOOKUP($A1480,#REF!,3,0)),"x",VLOOKUP($A1480,#REF!,3,FALSE))</f>
        <v>x</v>
      </c>
      <c r="G1480" s="9">
        <f t="shared" si="72"/>
        <v>1</v>
      </c>
      <c r="H1480" s="13">
        <f t="shared" si="73"/>
        <v>432.5</v>
      </c>
    </row>
    <row r="1481" spans="1:8" x14ac:dyDescent="0.25">
      <c r="A1481" s="2" t="str">
        <f>"MIRMA-40WW7A"</f>
        <v>MIRMA-40WW7A</v>
      </c>
      <c r="B1481" s="2" t="str">
        <f>"MIRON Wandleuchte, LED 39W, 3000K, asymmetrisch, metallgrau"</f>
        <v>MIRON Wandleuchte, LED 39W, 3000K, asymmetrisch, metallgrau</v>
      </c>
      <c r="C1481" s="16">
        <v>432.5</v>
      </c>
      <c r="D1481" s="11">
        <v>291</v>
      </c>
      <c r="E1481" s="7">
        <f t="shared" si="71"/>
        <v>1</v>
      </c>
      <c r="F1481" s="22" t="str">
        <f>IF(ISERROR(VLOOKUP($A1481,#REF!,3,0)),"x",VLOOKUP($A1481,#REF!,3,FALSE))</f>
        <v>x</v>
      </c>
      <c r="G1481" s="9">
        <f t="shared" si="72"/>
        <v>1</v>
      </c>
      <c r="H1481" s="13">
        <f t="shared" si="73"/>
        <v>432.5</v>
      </c>
    </row>
    <row r="1482" spans="1:8" x14ac:dyDescent="0.25">
      <c r="A1482" s="2" t="str">
        <f>"MIRMA-40WW7S"</f>
        <v>MIRMA-40WW7S</v>
      </c>
      <c r="B1482" s="2" t="str">
        <f>"MIRON Wandleuchte, LED 39W, 3000K, Ausstrahlwinkel 30°, metallgrau"</f>
        <v>MIRON Wandleuchte, LED 39W, 3000K, Ausstrahlwinkel 30°, metallgrau</v>
      </c>
      <c r="C1482" s="16">
        <v>432.5</v>
      </c>
      <c r="D1482" s="11">
        <v>291</v>
      </c>
      <c r="E1482" s="7">
        <f t="shared" si="71"/>
        <v>1</v>
      </c>
      <c r="F1482" s="22" t="str">
        <f>IF(ISERROR(VLOOKUP($A1482,#REF!,3,0)),"x",VLOOKUP($A1482,#REF!,3,FALSE))</f>
        <v>x</v>
      </c>
      <c r="G1482" s="9">
        <f t="shared" si="72"/>
        <v>1</v>
      </c>
      <c r="H1482" s="13">
        <f t="shared" si="73"/>
        <v>432.5</v>
      </c>
    </row>
    <row r="1483" spans="1:8" x14ac:dyDescent="0.25">
      <c r="A1483" s="2" t="str">
        <f>"MIRMAF-40NW1"</f>
        <v>MIRMAF-40NW1</v>
      </c>
      <c r="B1483" s="2" t="str">
        <f>"MIRON Wandleuchte, LED 39W, 4000K, Ausstrahlwinkel 120°, weiß"</f>
        <v>MIRON Wandleuchte, LED 39W, 4000K, Ausstrahlwinkel 120°, weiß</v>
      </c>
      <c r="C1483" s="16">
        <v>432.5</v>
      </c>
      <c r="D1483" s="11">
        <v>291</v>
      </c>
      <c r="E1483" s="7">
        <f t="shared" si="71"/>
        <v>1</v>
      </c>
      <c r="F1483" s="22" t="str">
        <f>IF(ISERROR(VLOOKUP($A1483,#REF!,3,0)),"x",VLOOKUP($A1483,#REF!,3,FALSE))</f>
        <v>x</v>
      </c>
      <c r="G1483" s="9">
        <f t="shared" si="72"/>
        <v>1</v>
      </c>
      <c r="H1483" s="13">
        <f t="shared" si="73"/>
        <v>432.5</v>
      </c>
    </row>
    <row r="1484" spans="1:8" x14ac:dyDescent="0.25">
      <c r="A1484" s="2" t="str">
        <f>"MIRMAF-40NW6"</f>
        <v>MIRMAF-40NW6</v>
      </c>
      <c r="B1484" s="2" t="str">
        <f>"MIRON Wandleuchte, LED 39W, 4000K, Street Light Optik,  anthrazit"</f>
        <v>MIRON Wandleuchte, LED 39W, 4000K, Street Light Optik,  anthrazit</v>
      </c>
      <c r="C1484" s="16">
        <v>432.5</v>
      </c>
      <c r="D1484" s="11">
        <v>291</v>
      </c>
      <c r="E1484" s="7">
        <f t="shared" si="71"/>
        <v>1</v>
      </c>
      <c r="F1484" s="22" t="str">
        <f>IF(ISERROR(VLOOKUP($A1484,#REF!,3,0)),"x",VLOOKUP($A1484,#REF!,3,FALSE))</f>
        <v>x</v>
      </c>
      <c r="G1484" s="9">
        <f t="shared" si="72"/>
        <v>1</v>
      </c>
      <c r="H1484" s="13">
        <f t="shared" si="73"/>
        <v>432.5</v>
      </c>
    </row>
    <row r="1485" spans="1:8" x14ac:dyDescent="0.25">
      <c r="A1485" s="2" t="str">
        <f>"MIRMAF-40NW7"</f>
        <v>MIRMAF-40NW7</v>
      </c>
      <c r="B1485" s="2" t="str">
        <f>"MIRON Wandleuchte, LED 39W, 4000K, Ausstrahlwinkel 120°, alugrau"</f>
        <v>MIRON Wandleuchte, LED 39W, 4000K, Ausstrahlwinkel 120°, alugrau</v>
      </c>
      <c r="C1485" s="16">
        <v>432.5</v>
      </c>
      <c r="D1485" s="11">
        <v>291</v>
      </c>
      <c r="E1485" s="7">
        <f t="shared" si="71"/>
        <v>1</v>
      </c>
      <c r="F1485" s="22" t="str">
        <f>IF(ISERROR(VLOOKUP($A1485,#REF!,3,0)),"x",VLOOKUP($A1485,#REF!,3,FALSE))</f>
        <v>x</v>
      </c>
      <c r="G1485" s="9">
        <f t="shared" si="72"/>
        <v>1</v>
      </c>
      <c r="H1485" s="13">
        <f t="shared" si="73"/>
        <v>432.5</v>
      </c>
    </row>
    <row r="1486" spans="1:8" x14ac:dyDescent="0.25">
      <c r="A1486" s="2" t="str">
        <f>"MIRMAF-40WW1"</f>
        <v>MIRMAF-40WW1</v>
      </c>
      <c r="B1486" s="2" t="str">
        <f>"MIRON Wandleuchte, LED 39W, 3000K, Ausstrahlwinkel 120°, weiß"</f>
        <v>MIRON Wandleuchte, LED 39W, 3000K, Ausstrahlwinkel 120°, weiß</v>
      </c>
      <c r="C1486" s="16">
        <v>432.5</v>
      </c>
      <c r="D1486" s="11">
        <v>291</v>
      </c>
      <c r="E1486" s="7">
        <f t="shared" si="71"/>
        <v>1</v>
      </c>
      <c r="F1486" s="22" t="str">
        <f>IF(ISERROR(VLOOKUP($A1486,#REF!,3,0)),"x",VLOOKUP($A1486,#REF!,3,FALSE))</f>
        <v>x</v>
      </c>
      <c r="G1486" s="9">
        <f t="shared" si="72"/>
        <v>1</v>
      </c>
      <c r="H1486" s="13">
        <f t="shared" si="73"/>
        <v>432.5</v>
      </c>
    </row>
    <row r="1487" spans="1:8" x14ac:dyDescent="0.25">
      <c r="A1487" s="2" t="str">
        <f>"MIRMAF-40WW6"</f>
        <v>MIRMAF-40WW6</v>
      </c>
      <c r="B1487" s="2" t="str">
        <f>"MIRON Wandleuchte, LED 39W, 3000K, Ausstrahlwinkel 120°,  anthrazit"</f>
        <v>MIRON Wandleuchte, LED 39W, 3000K, Ausstrahlwinkel 120°,  anthrazit</v>
      </c>
      <c r="C1487" s="16">
        <v>432.5</v>
      </c>
      <c r="D1487" s="11">
        <v>291</v>
      </c>
      <c r="E1487" s="7">
        <f t="shared" si="71"/>
        <v>1</v>
      </c>
      <c r="F1487" s="22" t="str">
        <f>IF(ISERROR(VLOOKUP($A1487,#REF!,3,0)),"x",VLOOKUP($A1487,#REF!,3,FALSE))</f>
        <v>x</v>
      </c>
      <c r="G1487" s="9">
        <f t="shared" si="72"/>
        <v>1</v>
      </c>
      <c r="H1487" s="13">
        <f t="shared" si="73"/>
        <v>432.5</v>
      </c>
    </row>
    <row r="1488" spans="1:8" x14ac:dyDescent="0.25">
      <c r="A1488" s="2" t="str">
        <f>"MIRMAF-40WW7"</f>
        <v>MIRMAF-40WW7</v>
      </c>
      <c r="B1488" s="2" t="str">
        <f>"MIRON Wandleuchte, LED 39W, 3000K, Ausstrahlwinkel 120°, metallgrau"</f>
        <v>MIRON Wandleuchte, LED 39W, 3000K, Ausstrahlwinkel 120°, metallgrau</v>
      </c>
      <c r="C1488" s="16">
        <v>432.5</v>
      </c>
      <c r="D1488" s="11">
        <v>291</v>
      </c>
      <c r="E1488" s="7">
        <f t="shared" si="71"/>
        <v>1</v>
      </c>
      <c r="F1488" s="22" t="str">
        <f>IF(ISERROR(VLOOKUP($A1488,#REF!,3,0)),"x",VLOOKUP($A1488,#REF!,3,FALSE))</f>
        <v>x</v>
      </c>
      <c r="G1488" s="9">
        <f t="shared" si="72"/>
        <v>1</v>
      </c>
      <c r="H1488" s="13">
        <f t="shared" si="73"/>
        <v>432.5</v>
      </c>
    </row>
    <row r="1489" spans="1:8" x14ac:dyDescent="0.25">
      <c r="A1489" s="2" t="str">
        <f>"MOD-3NW08"</f>
        <v>MOD-3NW08</v>
      </c>
      <c r="B1489" s="2" t="str">
        <f>"Modulo A Wandanbauleuchte eckig, ALU-Druckguss, LED 3W, 4000K, 24V, sand"</f>
        <v>Modulo A Wandanbauleuchte eckig, ALU-Druckguss, LED 3W, 4000K, 24V, sand</v>
      </c>
      <c r="C1489" s="16">
        <v>145</v>
      </c>
      <c r="D1489" s="11">
        <v>293</v>
      </c>
      <c r="E1489" s="7">
        <f t="shared" si="71"/>
        <v>1</v>
      </c>
      <c r="F1489" s="22" t="str">
        <f>IF(ISERROR(VLOOKUP($A1489,#REF!,3,0)),"x",VLOOKUP($A1489,#REF!,3,FALSE))</f>
        <v>x</v>
      </c>
      <c r="G1489" s="9">
        <f t="shared" si="72"/>
        <v>1</v>
      </c>
      <c r="H1489" s="13">
        <f t="shared" si="73"/>
        <v>145</v>
      </c>
    </row>
    <row r="1490" spans="1:8" x14ac:dyDescent="0.25">
      <c r="A1490" s="2" t="str">
        <f>"MOD-3NW1"</f>
        <v>MOD-3NW1</v>
      </c>
      <c r="B1490" s="2" t="str">
        <f>"Modulo A Wandanbauleuchte eckig, LED3W, 4000K, 24V, inkl.externem Netzteil, weiß"</f>
        <v>Modulo A Wandanbauleuchte eckig, LED3W, 4000K, 24V, inkl.externem Netzteil, weiß</v>
      </c>
      <c r="C1490" s="16">
        <v>145</v>
      </c>
      <c r="D1490" s="11">
        <v>293</v>
      </c>
      <c r="E1490" s="7">
        <f t="shared" si="71"/>
        <v>1</v>
      </c>
      <c r="F1490" s="22" t="str">
        <f>IF(ISERROR(VLOOKUP($A1490,#REF!,3,0)),"x",VLOOKUP($A1490,#REF!,3,FALSE))</f>
        <v>x</v>
      </c>
      <c r="G1490" s="9">
        <f t="shared" si="72"/>
        <v>1</v>
      </c>
      <c r="H1490" s="13">
        <f t="shared" si="73"/>
        <v>145</v>
      </c>
    </row>
    <row r="1491" spans="1:8" x14ac:dyDescent="0.25">
      <c r="A1491" s="2" t="str">
        <f>"MOD-3NW6"</f>
        <v>MOD-3NW6</v>
      </c>
      <c r="B1491" s="2" t="str">
        <f>"Modulo A Wandanbauleuchte eckig, ALU-Druckguss, LED 3W, 4000K, 24V, anthrazit"</f>
        <v>Modulo A Wandanbauleuchte eckig, ALU-Druckguss, LED 3W, 4000K, 24V, anthrazit</v>
      </c>
      <c r="C1491" s="16">
        <v>145</v>
      </c>
      <c r="D1491" s="11">
        <v>293</v>
      </c>
      <c r="E1491" s="7">
        <f t="shared" si="71"/>
        <v>1</v>
      </c>
      <c r="F1491" s="22" t="str">
        <f>IF(ISERROR(VLOOKUP($A1491,#REF!,3,0)),"x",VLOOKUP($A1491,#REF!,3,FALSE))</f>
        <v>x</v>
      </c>
      <c r="G1491" s="9">
        <f t="shared" si="72"/>
        <v>1</v>
      </c>
      <c r="H1491" s="13">
        <f t="shared" si="73"/>
        <v>145</v>
      </c>
    </row>
    <row r="1492" spans="1:8" x14ac:dyDescent="0.25">
      <c r="A1492" s="2" t="str">
        <f>"MOD-3NW7"</f>
        <v>MOD-3NW7</v>
      </c>
      <c r="B1492" s="2" t="str">
        <f>"Modulo A Wandanbauleuchte eckig, ALU-Druckguss, LED 3W, 4000K, 24V, alugrau"</f>
        <v>Modulo A Wandanbauleuchte eckig, ALU-Druckguss, LED 3W, 4000K, 24V, alugrau</v>
      </c>
      <c r="C1492" s="16">
        <v>145</v>
      </c>
      <c r="D1492" s="11">
        <v>293</v>
      </c>
      <c r="E1492" s="7">
        <f t="shared" si="71"/>
        <v>1</v>
      </c>
      <c r="F1492" s="22" t="str">
        <f>IF(ISERROR(VLOOKUP($A1492,#REF!,3,0)),"x",VLOOKUP($A1492,#REF!,3,FALSE))</f>
        <v>x</v>
      </c>
      <c r="G1492" s="9">
        <f t="shared" si="72"/>
        <v>1</v>
      </c>
      <c r="H1492" s="13">
        <f t="shared" si="73"/>
        <v>145</v>
      </c>
    </row>
    <row r="1493" spans="1:8" x14ac:dyDescent="0.25">
      <c r="A1493" s="2" t="str">
        <f>"MOD-3WW08"</f>
        <v>MOD-3WW08</v>
      </c>
      <c r="B1493" s="2" t="str">
        <f>"Modulo A Wandanbauleuchte eckig, ALU-Druckguss, LED 3W, 3000K, 24V, ibiza sand"</f>
        <v>Modulo A Wandanbauleuchte eckig, ALU-Druckguss, LED 3W, 3000K, 24V, ibiza sand</v>
      </c>
      <c r="C1493" s="16">
        <v>145</v>
      </c>
      <c r="D1493" s="11">
        <v>293</v>
      </c>
      <c r="E1493" s="7">
        <f t="shared" si="71"/>
        <v>1</v>
      </c>
      <c r="F1493" s="22" t="str">
        <f>IF(ISERROR(VLOOKUP($A1493,#REF!,3,0)),"x",VLOOKUP($A1493,#REF!,3,FALSE))</f>
        <v>x</v>
      </c>
      <c r="G1493" s="9">
        <f t="shared" si="72"/>
        <v>1</v>
      </c>
      <c r="H1493" s="13">
        <f t="shared" si="73"/>
        <v>145</v>
      </c>
    </row>
    <row r="1494" spans="1:8" x14ac:dyDescent="0.25">
      <c r="A1494" s="2" t="str">
        <f>"MOD-3WW1"</f>
        <v>MOD-3WW1</v>
      </c>
      <c r="B1494" s="2" t="str">
        <f>"Modulo A Wandanbauleuchte eckig, ALU-Druckguss, LED 3W, 3000K, 24V, weiß"</f>
        <v>Modulo A Wandanbauleuchte eckig, ALU-Druckguss, LED 3W, 3000K, 24V, weiß</v>
      </c>
      <c r="C1494" s="16">
        <v>145</v>
      </c>
      <c r="D1494" s="11">
        <v>293</v>
      </c>
      <c r="E1494" s="7">
        <f t="shared" si="71"/>
        <v>1</v>
      </c>
      <c r="F1494" s="22" t="str">
        <f>IF(ISERROR(VLOOKUP($A1494,#REF!,3,0)),"x",VLOOKUP($A1494,#REF!,3,FALSE))</f>
        <v>x</v>
      </c>
      <c r="G1494" s="9">
        <f t="shared" si="72"/>
        <v>1</v>
      </c>
      <c r="H1494" s="13">
        <f t="shared" si="73"/>
        <v>145</v>
      </c>
    </row>
    <row r="1495" spans="1:8" x14ac:dyDescent="0.25">
      <c r="A1495" s="2" t="str">
        <f>"MOD-3WW6"</f>
        <v>MOD-3WW6</v>
      </c>
      <c r="B1495" s="2" t="str">
        <f>"Modulo A Wandanbauleuchte eckig, ALU-Druckguss, LED 3W, 3000K, 24V, anthrazit"</f>
        <v>Modulo A Wandanbauleuchte eckig, ALU-Druckguss, LED 3W, 3000K, 24V, anthrazit</v>
      </c>
      <c r="C1495" s="16">
        <v>145</v>
      </c>
      <c r="D1495" s="11">
        <v>293</v>
      </c>
      <c r="E1495" s="7">
        <f t="shared" si="71"/>
        <v>1</v>
      </c>
      <c r="F1495" s="22" t="str">
        <f>IF(ISERROR(VLOOKUP($A1495,#REF!,3,0)),"x",VLOOKUP($A1495,#REF!,3,FALSE))</f>
        <v>x</v>
      </c>
      <c r="G1495" s="9">
        <f t="shared" si="72"/>
        <v>1</v>
      </c>
      <c r="H1495" s="13">
        <f t="shared" si="73"/>
        <v>145</v>
      </c>
    </row>
    <row r="1496" spans="1:8" x14ac:dyDescent="0.25">
      <c r="A1496" s="2" t="str">
        <f>"MOD-3WW7"</f>
        <v>MOD-3WW7</v>
      </c>
      <c r="B1496" s="2" t="str">
        <f>"Modulo A Wandanbauleuchte eckig, ALU-Druckguss, LED 3W, 3000K, 24V, alugrau"</f>
        <v>Modulo A Wandanbauleuchte eckig, ALU-Druckguss, LED 3W, 3000K, 24V, alugrau</v>
      </c>
      <c r="C1496" s="16">
        <v>145</v>
      </c>
      <c r="D1496" s="11">
        <v>293</v>
      </c>
      <c r="E1496" s="7">
        <f t="shared" si="71"/>
        <v>1</v>
      </c>
      <c r="F1496" s="22" t="str">
        <f>IF(ISERROR(VLOOKUP($A1496,#REF!,3,0)),"x",VLOOKUP($A1496,#REF!,3,FALSE))</f>
        <v>x</v>
      </c>
      <c r="G1496" s="9">
        <f t="shared" si="72"/>
        <v>1</v>
      </c>
      <c r="H1496" s="13">
        <f t="shared" si="73"/>
        <v>145</v>
      </c>
    </row>
    <row r="1497" spans="1:8" x14ac:dyDescent="0.25">
      <c r="A1497" s="2" t="str">
        <f>"MOD-6NW08"</f>
        <v>MOD-6NW08</v>
      </c>
      <c r="B1497" s="2" t="str">
        <f>"Modulo A Wandanbauleuchte eckig, ALU-Druckguss, LED 5W, 4000K, 24V, sand"</f>
        <v>Modulo A Wandanbauleuchte eckig, ALU-Druckguss, LED 5W, 4000K, 24V, sand</v>
      </c>
      <c r="C1497" s="16">
        <v>161.5</v>
      </c>
      <c r="D1497" s="11">
        <v>293</v>
      </c>
      <c r="E1497" s="7">
        <f t="shared" si="71"/>
        <v>1</v>
      </c>
      <c r="F1497" s="22" t="str">
        <f>IF(ISERROR(VLOOKUP($A1497,#REF!,3,0)),"x",VLOOKUP($A1497,#REF!,3,FALSE))</f>
        <v>x</v>
      </c>
      <c r="G1497" s="9">
        <f t="shared" si="72"/>
        <v>1</v>
      </c>
      <c r="H1497" s="13">
        <f t="shared" si="73"/>
        <v>161.5</v>
      </c>
    </row>
    <row r="1498" spans="1:8" x14ac:dyDescent="0.25">
      <c r="A1498" s="2" t="str">
        <f>"MOD-6NW1"</f>
        <v>MOD-6NW1</v>
      </c>
      <c r="B1498" s="2" t="str">
        <f>"Modulo A Wandanbauleuchte eckig, ALU-Druckguss, LED 5W, 4000K, 24V, weiß"</f>
        <v>Modulo A Wandanbauleuchte eckig, ALU-Druckguss, LED 5W, 4000K, 24V, weiß</v>
      </c>
      <c r="C1498" s="16">
        <v>161.5</v>
      </c>
      <c r="D1498" s="11">
        <v>293</v>
      </c>
      <c r="E1498" s="7">
        <f t="shared" si="71"/>
        <v>1</v>
      </c>
      <c r="F1498" s="22" t="str">
        <f>IF(ISERROR(VLOOKUP($A1498,#REF!,3,0)),"x",VLOOKUP($A1498,#REF!,3,FALSE))</f>
        <v>x</v>
      </c>
      <c r="G1498" s="9">
        <f t="shared" si="72"/>
        <v>1</v>
      </c>
      <c r="H1498" s="13">
        <f t="shared" si="73"/>
        <v>161.5</v>
      </c>
    </row>
    <row r="1499" spans="1:8" x14ac:dyDescent="0.25">
      <c r="A1499" s="2" t="str">
        <f>"MOD-6NW6"</f>
        <v>MOD-6NW6</v>
      </c>
      <c r="B1499" s="2" t="str">
        <f>"Modulo A Wandanbauleuchte eckig, ALU-Druckguss, LED, 5W, 4000K, 24V, anthrazit"</f>
        <v>Modulo A Wandanbauleuchte eckig, ALU-Druckguss, LED, 5W, 4000K, 24V, anthrazit</v>
      </c>
      <c r="C1499" s="16">
        <v>161.5</v>
      </c>
      <c r="D1499" s="11">
        <v>293</v>
      </c>
      <c r="E1499" s="7">
        <f t="shared" si="71"/>
        <v>1</v>
      </c>
      <c r="F1499" s="22" t="str">
        <f>IF(ISERROR(VLOOKUP($A1499,#REF!,3,0)),"x",VLOOKUP($A1499,#REF!,3,FALSE))</f>
        <v>x</v>
      </c>
      <c r="G1499" s="9">
        <f t="shared" si="72"/>
        <v>1</v>
      </c>
      <c r="H1499" s="13">
        <f t="shared" si="73"/>
        <v>161.5</v>
      </c>
    </row>
    <row r="1500" spans="1:8" x14ac:dyDescent="0.25">
      <c r="A1500" s="2" t="str">
        <f>"MOD-6NW7"</f>
        <v>MOD-6NW7</v>
      </c>
      <c r="B1500" s="2" t="str">
        <f>"Modulo A Wandanbauleuchte eckig, ALU-Druckguss, LED 5W, 4000K, 24V, alugrau"</f>
        <v>Modulo A Wandanbauleuchte eckig, ALU-Druckguss, LED 5W, 4000K, 24V, alugrau</v>
      </c>
      <c r="C1500" s="16">
        <v>161.5</v>
      </c>
      <c r="D1500" s="11">
        <v>293</v>
      </c>
      <c r="E1500" s="7">
        <f t="shared" si="71"/>
        <v>1</v>
      </c>
      <c r="F1500" s="22" t="str">
        <f>IF(ISERROR(VLOOKUP($A1500,#REF!,3,0)),"x",VLOOKUP($A1500,#REF!,3,FALSE))</f>
        <v>x</v>
      </c>
      <c r="G1500" s="9">
        <f t="shared" si="72"/>
        <v>1</v>
      </c>
      <c r="H1500" s="13">
        <f t="shared" si="73"/>
        <v>161.5</v>
      </c>
    </row>
    <row r="1501" spans="1:8" x14ac:dyDescent="0.25">
      <c r="A1501" s="2" t="str">
        <f>"MOD-6WW08"</f>
        <v>MOD-6WW08</v>
      </c>
      <c r="B1501" s="2" t="str">
        <f>"Modulo A Wandanbauleuchte eckig, ALU-Druckguss, LED 5W, 3000K, 24V, sand"</f>
        <v>Modulo A Wandanbauleuchte eckig, ALU-Druckguss, LED 5W, 3000K, 24V, sand</v>
      </c>
      <c r="C1501" s="16">
        <v>161.5</v>
      </c>
      <c r="D1501" s="11">
        <v>293</v>
      </c>
      <c r="E1501" s="7">
        <f t="shared" si="71"/>
        <v>1</v>
      </c>
      <c r="F1501" s="22" t="str">
        <f>IF(ISERROR(VLOOKUP($A1501,#REF!,3,0)),"x",VLOOKUP($A1501,#REF!,3,FALSE))</f>
        <v>x</v>
      </c>
      <c r="G1501" s="9">
        <f t="shared" si="72"/>
        <v>1</v>
      </c>
      <c r="H1501" s="13">
        <f t="shared" si="73"/>
        <v>161.5</v>
      </c>
    </row>
    <row r="1502" spans="1:8" x14ac:dyDescent="0.25">
      <c r="A1502" s="2" t="str">
        <f>"MOD-6WW1"</f>
        <v>MOD-6WW1</v>
      </c>
      <c r="B1502" s="2" t="str">
        <f>"Modulo A Wandanbauleuchte eckig, ALU-Druckguss, LED 5W, 3000K, 24V, weiß"</f>
        <v>Modulo A Wandanbauleuchte eckig, ALU-Druckguss, LED 5W, 3000K, 24V, weiß</v>
      </c>
      <c r="C1502" s="16">
        <v>161.5</v>
      </c>
      <c r="D1502" s="11">
        <v>293</v>
      </c>
      <c r="E1502" s="7">
        <f t="shared" si="71"/>
        <v>1</v>
      </c>
      <c r="F1502" s="22" t="str">
        <f>IF(ISERROR(VLOOKUP($A1502,#REF!,3,0)),"x",VLOOKUP($A1502,#REF!,3,FALSE))</f>
        <v>x</v>
      </c>
      <c r="G1502" s="9">
        <f t="shared" si="72"/>
        <v>1</v>
      </c>
      <c r="H1502" s="13">
        <f t="shared" si="73"/>
        <v>161.5</v>
      </c>
    </row>
    <row r="1503" spans="1:8" x14ac:dyDescent="0.25">
      <c r="A1503" s="2" t="str">
        <f>"MOD-6WW6"</f>
        <v>MOD-6WW6</v>
      </c>
      <c r="B1503" s="2" t="str">
        <f>"Modulo A Wandanbauleuchte eckig, ALU-Druckguss, LED 5W, 3000K, 24V, anthrazit"</f>
        <v>Modulo A Wandanbauleuchte eckig, ALU-Druckguss, LED 5W, 3000K, 24V, anthrazit</v>
      </c>
      <c r="C1503" s="16">
        <v>161.5</v>
      </c>
      <c r="D1503" s="11">
        <v>293</v>
      </c>
      <c r="E1503" s="7">
        <f t="shared" si="71"/>
        <v>1</v>
      </c>
      <c r="F1503" s="22" t="str">
        <f>IF(ISERROR(VLOOKUP($A1503,#REF!,3,0)),"x",VLOOKUP($A1503,#REF!,3,FALSE))</f>
        <v>x</v>
      </c>
      <c r="G1503" s="9">
        <f t="shared" si="72"/>
        <v>1</v>
      </c>
      <c r="H1503" s="13">
        <f t="shared" si="73"/>
        <v>161.5</v>
      </c>
    </row>
    <row r="1504" spans="1:8" x14ac:dyDescent="0.25">
      <c r="A1504" s="2" t="str">
        <f>"MOD-6WW7"</f>
        <v>MOD-6WW7</v>
      </c>
      <c r="B1504" s="2" t="str">
        <f>"Modulo A Wandanbauleuchte eckig, ALU-Druckguss, LED 5W, 3000K, 24V, alugrau"</f>
        <v>Modulo A Wandanbauleuchte eckig, ALU-Druckguss, LED 5W, 3000K, 24V, alugrau</v>
      </c>
      <c r="C1504" s="16">
        <v>161.5</v>
      </c>
      <c r="D1504" s="11">
        <v>293</v>
      </c>
      <c r="E1504" s="7">
        <f t="shared" si="71"/>
        <v>1</v>
      </c>
      <c r="F1504" s="22" t="str">
        <f>IF(ISERROR(VLOOKUP($A1504,#REF!,3,0)),"x",VLOOKUP($A1504,#REF!,3,FALSE))</f>
        <v>x</v>
      </c>
      <c r="G1504" s="9">
        <f t="shared" si="72"/>
        <v>1</v>
      </c>
      <c r="H1504" s="13">
        <f t="shared" si="73"/>
        <v>161.5</v>
      </c>
    </row>
    <row r="1505" spans="1:8" x14ac:dyDescent="0.25">
      <c r="A1505" s="2" t="str">
        <f>"MPL-24WW2"</f>
        <v>MPL-24WW2</v>
      </c>
      <c r="B1505" s="2" t="str">
        <f>"MPL Pendelleuchte, LED 24W,  direkter Lichtaustritt, 3000K, schwarz"</f>
        <v>MPL Pendelleuchte, LED 24W,  direkter Lichtaustritt, 3000K, schwarz</v>
      </c>
      <c r="C1505" s="16">
        <v>237.5</v>
      </c>
      <c r="D1505" s="11">
        <v>167</v>
      </c>
      <c r="E1505" s="7">
        <f t="shared" si="71"/>
        <v>1</v>
      </c>
      <c r="F1505" s="22" t="str">
        <f>IF(ISERROR(VLOOKUP($A1505,#REF!,3,0)),"x",VLOOKUP($A1505,#REF!,3,FALSE))</f>
        <v>x</v>
      </c>
      <c r="G1505" s="9">
        <f t="shared" si="72"/>
        <v>1</v>
      </c>
      <c r="H1505" s="13">
        <f t="shared" si="73"/>
        <v>237.5</v>
      </c>
    </row>
    <row r="1506" spans="1:8" x14ac:dyDescent="0.25">
      <c r="A1506" s="2" t="str">
        <f>"MUS-10WW2"</f>
        <v>MUS-10WW2</v>
      </c>
      <c r="B1506" s="2" t="str">
        <f>"MUSE CAPSULE Leuchtenkopf MID-POWER LED  2-fach. Lichtaustritt, 2x5W, 3000K, 24V"</f>
        <v>MUSE CAPSULE Leuchtenkopf MID-POWER LED  2-fach. Lichtaustritt, 2x5W, 3000K, 24V</v>
      </c>
      <c r="C1506" s="16">
        <v>164</v>
      </c>
      <c r="D1506" s="11">
        <v>316</v>
      </c>
      <c r="E1506" s="7">
        <f t="shared" si="71"/>
        <v>1</v>
      </c>
      <c r="F1506" s="22" t="str">
        <f>IF(ISERROR(VLOOKUP($A1506,#REF!,3,0)),"x",VLOOKUP($A1506,#REF!,3,FALSE))</f>
        <v>x</v>
      </c>
      <c r="G1506" s="9">
        <f t="shared" si="72"/>
        <v>1</v>
      </c>
      <c r="H1506" s="13">
        <f t="shared" si="73"/>
        <v>164</v>
      </c>
    </row>
    <row r="1507" spans="1:8" x14ac:dyDescent="0.25">
      <c r="A1507" s="2" t="str">
        <f>"MUS-10WW7"</f>
        <v>MUS-10WW7</v>
      </c>
      <c r="B1507" s="2" t="str">
        <f>"MUSE CAPSULE Leuchtenkopf MID-POWER LED, 2-fach. Lichtaustritt, 2x5W, 3000K, 24V"</f>
        <v>MUSE CAPSULE Leuchtenkopf MID-POWER LED, 2-fach. Lichtaustritt, 2x5W, 3000K, 24V</v>
      </c>
      <c r="C1507" s="16">
        <v>164</v>
      </c>
      <c r="D1507" s="11">
        <v>316</v>
      </c>
      <c r="E1507" s="7">
        <f t="shared" si="71"/>
        <v>1</v>
      </c>
      <c r="F1507" s="22" t="str">
        <f>IF(ISERROR(VLOOKUP($A1507,#REF!,3,0)),"x",VLOOKUP($A1507,#REF!,3,FALSE))</f>
        <v>x</v>
      </c>
      <c r="G1507" s="9">
        <f t="shared" si="72"/>
        <v>1</v>
      </c>
      <c r="H1507" s="13">
        <f t="shared" si="73"/>
        <v>164</v>
      </c>
    </row>
    <row r="1508" spans="1:8" x14ac:dyDescent="0.25">
      <c r="A1508" s="2" t="str">
        <f>"MUS-12WW08"</f>
        <v>MUS-12WW08</v>
      </c>
      <c r="B1508" s="2" t="str">
        <f>"MUSE SPOT Leuchtenkopf COB LED, 12W, 3000K, 26°, 24Vdc, Ibiza Sand"</f>
        <v>MUSE SPOT Leuchtenkopf COB LED, 12W, 3000K, 26°, 24Vdc, Ibiza Sand</v>
      </c>
      <c r="C1508" s="16">
        <v>262.25</v>
      </c>
      <c r="D1508" s="11">
        <v>316</v>
      </c>
      <c r="E1508" s="7">
        <f t="shared" si="71"/>
        <v>1</v>
      </c>
      <c r="F1508" s="22" t="str">
        <f>IF(ISERROR(VLOOKUP($A1508,#REF!,3,0)),"x",VLOOKUP($A1508,#REF!,3,FALSE))</f>
        <v>x</v>
      </c>
      <c r="G1508" s="9">
        <f t="shared" si="72"/>
        <v>1</v>
      </c>
      <c r="H1508" s="13">
        <f t="shared" si="73"/>
        <v>262.25</v>
      </c>
    </row>
    <row r="1509" spans="1:8" x14ac:dyDescent="0.25">
      <c r="A1509" s="2" t="str">
        <f>"MUS-12WW08-60"</f>
        <v>MUS-12WW08-60</v>
      </c>
      <c r="B1509" s="2" t="str">
        <f>"MUSE SPOT Leuchtenkopf COB LED, 12W, 3000K, 60°, 24Vdc, Ibiza Sand "</f>
        <v xml:space="preserve">MUSE SPOT Leuchtenkopf COB LED, 12W, 3000K, 60°, 24Vdc, Ibiza Sand </v>
      </c>
      <c r="C1509" s="16">
        <v>262.25</v>
      </c>
      <c r="D1509" s="11">
        <v>316</v>
      </c>
      <c r="E1509" s="7">
        <f t="shared" si="71"/>
        <v>1</v>
      </c>
      <c r="F1509" s="22" t="str">
        <f>IF(ISERROR(VLOOKUP($A1509,#REF!,3,0)),"x",VLOOKUP($A1509,#REF!,3,FALSE))</f>
        <v>x</v>
      </c>
      <c r="G1509" s="9">
        <f t="shared" si="72"/>
        <v>1</v>
      </c>
      <c r="H1509" s="13">
        <f t="shared" si="73"/>
        <v>262.25</v>
      </c>
    </row>
    <row r="1510" spans="1:8" x14ac:dyDescent="0.25">
      <c r="A1510" s="2" t="str">
        <f>"MUS-12WW1"</f>
        <v>MUS-12WW1</v>
      </c>
      <c r="B1510" s="2" t="str">
        <f>"MUSE SPOT Leuchtenkopf COB LED, 12W, 3000K, 26°, 24Vdc, weiß"</f>
        <v>MUSE SPOT Leuchtenkopf COB LED, 12W, 3000K, 26°, 24Vdc, weiß</v>
      </c>
      <c r="C1510" s="16">
        <v>262.25</v>
      </c>
      <c r="D1510" s="11">
        <v>316</v>
      </c>
      <c r="E1510" s="7">
        <f t="shared" si="71"/>
        <v>1</v>
      </c>
      <c r="F1510" s="22" t="str">
        <f>IF(ISERROR(VLOOKUP($A1510,#REF!,3,0)),"x",VLOOKUP($A1510,#REF!,3,FALSE))</f>
        <v>x</v>
      </c>
      <c r="G1510" s="9">
        <f t="shared" si="72"/>
        <v>1</v>
      </c>
      <c r="H1510" s="13">
        <f t="shared" si="73"/>
        <v>262.25</v>
      </c>
    </row>
    <row r="1511" spans="1:8" x14ac:dyDescent="0.25">
      <c r="A1511" s="2" t="str">
        <f>"MUS-12WW1-60"</f>
        <v>MUS-12WW1-60</v>
      </c>
      <c r="B1511" s="2" t="str">
        <f>"MUSE SPOT Leuchtenkopf COB LED, 12W, 3000K, 60°, 24Vdc, weiß"</f>
        <v>MUSE SPOT Leuchtenkopf COB LED, 12W, 3000K, 60°, 24Vdc, weiß</v>
      </c>
      <c r="C1511" s="16">
        <v>262.25</v>
      </c>
      <c r="D1511" s="11">
        <v>316</v>
      </c>
      <c r="E1511" s="7">
        <f t="shared" si="71"/>
        <v>1</v>
      </c>
      <c r="F1511" s="22" t="str">
        <f>IF(ISERROR(VLOOKUP($A1511,#REF!,3,0)),"x",VLOOKUP($A1511,#REF!,3,FALSE))</f>
        <v>x</v>
      </c>
      <c r="G1511" s="9">
        <f t="shared" si="72"/>
        <v>1</v>
      </c>
      <c r="H1511" s="13">
        <f t="shared" si="73"/>
        <v>262.25</v>
      </c>
    </row>
    <row r="1512" spans="1:8" x14ac:dyDescent="0.25">
      <c r="A1512" s="2" t="str">
        <f>"MUS-12WW2"</f>
        <v>MUS-12WW2</v>
      </c>
      <c r="B1512" s="2" t="str">
        <f>"MUSE SPOT Leuchtenkopf COB LED, 12W, 3000K, 26°, 24Vdc, schwarz"</f>
        <v>MUSE SPOT Leuchtenkopf COB LED, 12W, 3000K, 26°, 24Vdc, schwarz</v>
      </c>
      <c r="C1512" s="16">
        <v>262.25</v>
      </c>
      <c r="D1512" s="11">
        <v>316</v>
      </c>
      <c r="E1512" s="7">
        <f t="shared" si="71"/>
        <v>1</v>
      </c>
      <c r="F1512" s="22" t="str">
        <f>IF(ISERROR(VLOOKUP($A1512,#REF!,3,0)),"x",VLOOKUP($A1512,#REF!,3,FALSE))</f>
        <v>x</v>
      </c>
      <c r="G1512" s="9">
        <f t="shared" si="72"/>
        <v>1</v>
      </c>
      <c r="H1512" s="13">
        <f t="shared" si="73"/>
        <v>262.25</v>
      </c>
    </row>
    <row r="1513" spans="1:8" x14ac:dyDescent="0.25">
      <c r="A1513" s="2" t="str">
        <f>"MUS-12WW2-60"</f>
        <v>MUS-12WW2-60</v>
      </c>
      <c r="B1513" s="2" t="str">
        <f>"MUSE SPOT Leuchtenkopf COB LED, 12W, 3000K, 60°, 24Vdc, schwarz"</f>
        <v>MUSE SPOT Leuchtenkopf COB LED, 12W, 3000K, 60°, 24Vdc, schwarz</v>
      </c>
      <c r="C1513" s="16">
        <v>262.25</v>
      </c>
      <c r="D1513" s="11">
        <v>316</v>
      </c>
      <c r="E1513" s="7">
        <f t="shared" si="71"/>
        <v>1</v>
      </c>
      <c r="F1513" s="22" t="str">
        <f>IF(ISERROR(VLOOKUP($A1513,#REF!,3,0)),"x",VLOOKUP($A1513,#REF!,3,FALSE))</f>
        <v>x</v>
      </c>
      <c r="G1513" s="9">
        <f t="shared" si="72"/>
        <v>1</v>
      </c>
      <c r="H1513" s="13">
        <f t="shared" si="73"/>
        <v>262.25</v>
      </c>
    </row>
    <row r="1514" spans="1:8" x14ac:dyDescent="0.25">
      <c r="A1514" s="2" t="str">
        <f>"MUS-12WW7"</f>
        <v>MUS-12WW7</v>
      </c>
      <c r="B1514" s="2" t="str">
        <f>"MUSE SPOT Leuchtenkopf COB LED, 12W, 3000K, 26°, 24Vdc, alugrau"</f>
        <v>MUSE SPOT Leuchtenkopf COB LED, 12W, 3000K, 26°, 24Vdc, alugrau</v>
      </c>
      <c r="C1514" s="16">
        <v>262.25</v>
      </c>
      <c r="D1514" s="11">
        <v>316</v>
      </c>
      <c r="E1514" s="7">
        <f t="shared" si="71"/>
        <v>1</v>
      </c>
      <c r="F1514" s="22" t="str">
        <f>IF(ISERROR(VLOOKUP($A1514,#REF!,3,0)),"x",VLOOKUP($A1514,#REF!,3,FALSE))</f>
        <v>x</v>
      </c>
      <c r="G1514" s="9">
        <f t="shared" si="72"/>
        <v>1</v>
      </c>
      <c r="H1514" s="13">
        <f t="shared" si="73"/>
        <v>262.25</v>
      </c>
    </row>
    <row r="1515" spans="1:8" x14ac:dyDescent="0.25">
      <c r="A1515" s="2" t="str">
        <f>"MUS-12WW7-60"</f>
        <v>MUS-12WW7-60</v>
      </c>
      <c r="B1515" s="2" t="str">
        <f>"MUSE SPOT Leuchtenkopf COB LED, 12W, 3000K, 60°, 24Vdc, alugrau"</f>
        <v>MUSE SPOT Leuchtenkopf COB LED, 12W, 3000K, 60°, 24Vdc, alugrau</v>
      </c>
      <c r="C1515" s="16">
        <v>262.25</v>
      </c>
      <c r="D1515" s="11">
        <v>316</v>
      </c>
      <c r="E1515" s="7">
        <f t="shared" si="71"/>
        <v>1</v>
      </c>
      <c r="F1515" s="22" t="str">
        <f>IF(ISERROR(VLOOKUP($A1515,#REF!,3,0)),"x",VLOOKUP($A1515,#REF!,3,FALSE))</f>
        <v>x</v>
      </c>
      <c r="G1515" s="9">
        <f t="shared" si="72"/>
        <v>1</v>
      </c>
      <c r="H1515" s="13">
        <f t="shared" si="73"/>
        <v>262.25</v>
      </c>
    </row>
    <row r="1516" spans="1:8" x14ac:dyDescent="0.25">
      <c r="A1516" s="2" t="str">
        <f>"MUS-5WW2"</f>
        <v>MUS-5WW2</v>
      </c>
      <c r="B1516" s="2" t="str">
        <f>"MUSE CAPSULE Leuchtenkopf MID-POWER LED,  1-facher Lichtaustritt, 5W, 3000K, 24V"</f>
        <v>MUSE CAPSULE Leuchtenkopf MID-POWER LED,  1-facher Lichtaustritt, 5W, 3000K, 24V</v>
      </c>
      <c r="C1516" s="16">
        <v>130.5</v>
      </c>
      <c r="D1516" s="11">
        <v>316</v>
      </c>
      <c r="E1516" s="7">
        <f t="shared" si="71"/>
        <v>1</v>
      </c>
      <c r="F1516" s="22" t="str">
        <f>IF(ISERROR(VLOOKUP($A1516,#REF!,3,0)),"x",VLOOKUP($A1516,#REF!,3,FALSE))</f>
        <v>x</v>
      </c>
      <c r="G1516" s="9">
        <f t="shared" si="72"/>
        <v>1</v>
      </c>
      <c r="H1516" s="13">
        <f t="shared" si="73"/>
        <v>130.5</v>
      </c>
    </row>
    <row r="1517" spans="1:8" x14ac:dyDescent="0.25">
      <c r="A1517" s="2" t="str">
        <f>"MUS-5WW7"</f>
        <v>MUS-5WW7</v>
      </c>
      <c r="B1517" s="2" t="str">
        <f>"MUSE CAPSULE Leuchtenkopf MID-POWER LED,  1-facher Lichtaustritt, 5W, 3000K, 24V"</f>
        <v>MUSE CAPSULE Leuchtenkopf MID-POWER LED,  1-facher Lichtaustritt, 5W, 3000K, 24V</v>
      </c>
      <c r="C1517" s="16">
        <v>130.5</v>
      </c>
      <c r="D1517" s="11">
        <v>316</v>
      </c>
      <c r="E1517" s="7">
        <f t="shared" si="71"/>
        <v>1</v>
      </c>
      <c r="F1517" s="22" t="str">
        <f>IF(ISERROR(VLOOKUP($A1517,#REF!,3,0)),"x",VLOOKUP($A1517,#REF!,3,FALSE))</f>
        <v>x</v>
      </c>
      <c r="G1517" s="9">
        <f t="shared" si="72"/>
        <v>1</v>
      </c>
      <c r="H1517" s="13">
        <f t="shared" si="73"/>
        <v>130.5</v>
      </c>
    </row>
    <row r="1518" spans="1:8" x14ac:dyDescent="0.25">
      <c r="A1518" s="2" t="str">
        <f>"MUS-BOX08"</f>
        <v>MUS-BOX08</v>
      </c>
      <c r="B1518" s="2" t="str">
        <f>"Anschlussbox für MUSE CAPSULE, SPOT, nicht dimmbar, Ibiza Sand "</f>
        <v xml:space="preserve">Anschlussbox für MUSE CAPSULE, SPOT, nicht dimmbar, Ibiza Sand </v>
      </c>
      <c r="C1518" s="16">
        <v>156.75</v>
      </c>
      <c r="D1518" s="11">
        <v>316</v>
      </c>
      <c r="E1518" s="7">
        <f t="shared" si="71"/>
        <v>1</v>
      </c>
      <c r="F1518" s="22" t="str">
        <f>IF(ISERROR(VLOOKUP($A1518,#REF!,3,0)),"x",VLOOKUP($A1518,#REF!,3,FALSE))</f>
        <v>x</v>
      </c>
      <c r="G1518" s="9">
        <f t="shared" si="72"/>
        <v>1</v>
      </c>
      <c r="H1518" s="13">
        <f t="shared" si="73"/>
        <v>156.75</v>
      </c>
    </row>
    <row r="1519" spans="1:8" x14ac:dyDescent="0.25">
      <c r="A1519" s="2" t="str">
        <f>"MUS-BOX08DD"</f>
        <v>MUS-BOX08DD</v>
      </c>
      <c r="B1519" s="2" t="str">
        <f>"Anschlussbox für MUSE CAPSULE, SPOT, DALI dimmbar, Ibiza sand"</f>
        <v>Anschlussbox für MUSE CAPSULE, SPOT, DALI dimmbar, Ibiza sand</v>
      </c>
      <c r="C1519" s="16">
        <v>176.5</v>
      </c>
      <c r="D1519" s="11">
        <v>316</v>
      </c>
      <c r="E1519" s="7">
        <f t="shared" si="71"/>
        <v>1</v>
      </c>
      <c r="F1519" s="22" t="str">
        <f>IF(ISERROR(VLOOKUP($A1519,#REF!,3,0)),"x",VLOOKUP($A1519,#REF!,3,FALSE))</f>
        <v>x</v>
      </c>
      <c r="G1519" s="9">
        <f t="shared" si="72"/>
        <v>1</v>
      </c>
      <c r="H1519" s="13">
        <f t="shared" si="73"/>
        <v>176.5</v>
      </c>
    </row>
    <row r="1520" spans="1:8" x14ac:dyDescent="0.25">
      <c r="A1520" s="2" t="str">
        <f>"MUS-BOX1"</f>
        <v>MUS-BOX1</v>
      </c>
      <c r="B1520" s="2" t="str">
        <f>"Anschlussbox für MUSE CAPSULE, SPOT, nicht dimmbar, weiß"</f>
        <v>Anschlussbox für MUSE CAPSULE, SPOT, nicht dimmbar, weiß</v>
      </c>
      <c r="C1520" s="16">
        <v>156.75</v>
      </c>
      <c r="D1520" s="11">
        <v>316</v>
      </c>
      <c r="E1520" s="7">
        <f t="shared" si="71"/>
        <v>1</v>
      </c>
      <c r="F1520" s="22" t="str">
        <f>IF(ISERROR(VLOOKUP($A1520,#REF!,3,0)),"x",VLOOKUP($A1520,#REF!,3,FALSE))</f>
        <v>x</v>
      </c>
      <c r="G1520" s="9">
        <f t="shared" si="72"/>
        <v>1</v>
      </c>
      <c r="H1520" s="13">
        <f t="shared" si="73"/>
        <v>156.75</v>
      </c>
    </row>
    <row r="1521" spans="1:8" x14ac:dyDescent="0.25">
      <c r="A1521" s="2" t="str">
        <f>"MUS-BOX1DD"</f>
        <v>MUS-BOX1DD</v>
      </c>
      <c r="B1521" s="2" t="str">
        <f>"Anschlussbox für MUSE CAPSULE, SPOT, DALI dimmbar, weiß"</f>
        <v>Anschlussbox für MUSE CAPSULE, SPOT, DALI dimmbar, weiß</v>
      </c>
      <c r="C1521" s="16">
        <v>176.5</v>
      </c>
      <c r="D1521" s="11">
        <v>316</v>
      </c>
      <c r="E1521" s="7">
        <f t="shared" si="71"/>
        <v>1</v>
      </c>
      <c r="F1521" s="22" t="str">
        <f>IF(ISERROR(VLOOKUP($A1521,#REF!,3,0)),"x",VLOOKUP($A1521,#REF!,3,FALSE))</f>
        <v>x</v>
      </c>
      <c r="G1521" s="9">
        <f t="shared" si="72"/>
        <v>1</v>
      </c>
      <c r="H1521" s="13">
        <f t="shared" si="73"/>
        <v>176.5</v>
      </c>
    </row>
    <row r="1522" spans="1:8" x14ac:dyDescent="0.25">
      <c r="A1522" s="2" t="str">
        <f>"MUS-BOX2"</f>
        <v>MUS-BOX2</v>
      </c>
      <c r="B1522" s="2" t="str">
        <f>"Anschlussbox für MUSE CAPSULE, SPOT, nicht dimmbar, schwarz"</f>
        <v>Anschlussbox für MUSE CAPSULE, SPOT, nicht dimmbar, schwarz</v>
      </c>
      <c r="C1522" s="16">
        <v>156.75</v>
      </c>
      <c r="D1522" s="11">
        <v>316</v>
      </c>
      <c r="E1522" s="7">
        <f t="shared" si="71"/>
        <v>1</v>
      </c>
      <c r="F1522" s="22" t="str">
        <f>IF(ISERROR(VLOOKUP($A1522,#REF!,3,0)),"x",VLOOKUP($A1522,#REF!,3,FALSE))</f>
        <v>x</v>
      </c>
      <c r="G1522" s="9">
        <f t="shared" si="72"/>
        <v>1</v>
      </c>
      <c r="H1522" s="13">
        <f t="shared" si="73"/>
        <v>156.75</v>
      </c>
    </row>
    <row r="1523" spans="1:8" x14ac:dyDescent="0.25">
      <c r="A1523" s="2" t="str">
        <f>"MUS-BOX2DD"</f>
        <v>MUS-BOX2DD</v>
      </c>
      <c r="B1523" s="2" t="str">
        <f>"Anschlussbox für MUSE CAPSULE, SPOT, DALI dimmbar, schwarz"</f>
        <v>Anschlussbox für MUSE CAPSULE, SPOT, DALI dimmbar, schwarz</v>
      </c>
      <c r="C1523" s="16">
        <v>176.5</v>
      </c>
      <c r="D1523" s="11">
        <v>316</v>
      </c>
      <c r="E1523" s="7">
        <f t="shared" si="71"/>
        <v>1</v>
      </c>
      <c r="F1523" s="22" t="str">
        <f>IF(ISERROR(VLOOKUP($A1523,#REF!,3,0)),"x",VLOOKUP($A1523,#REF!,3,FALSE))</f>
        <v>x</v>
      </c>
      <c r="G1523" s="9">
        <f t="shared" si="72"/>
        <v>1</v>
      </c>
      <c r="H1523" s="13">
        <f t="shared" si="73"/>
        <v>176.5</v>
      </c>
    </row>
    <row r="1524" spans="1:8" x14ac:dyDescent="0.25">
      <c r="A1524" s="2" t="str">
        <f>"MUS-BOX7"</f>
        <v>MUS-BOX7</v>
      </c>
      <c r="B1524" s="2" t="str">
        <f>"Anschlussbox für MUSE CAPSULE, SPOT, nicht dimmbar, alugrau"</f>
        <v>Anschlussbox für MUSE CAPSULE, SPOT, nicht dimmbar, alugrau</v>
      </c>
      <c r="C1524" s="16">
        <v>156.75</v>
      </c>
      <c r="D1524" s="11">
        <v>316</v>
      </c>
      <c r="E1524" s="7">
        <f t="shared" si="71"/>
        <v>1</v>
      </c>
      <c r="F1524" s="22" t="str">
        <f>IF(ISERROR(VLOOKUP($A1524,#REF!,3,0)),"x",VLOOKUP($A1524,#REF!,3,FALSE))</f>
        <v>x</v>
      </c>
      <c r="G1524" s="9">
        <f t="shared" si="72"/>
        <v>1</v>
      </c>
      <c r="H1524" s="13">
        <f t="shared" si="73"/>
        <v>156.75</v>
      </c>
    </row>
    <row r="1525" spans="1:8" x14ac:dyDescent="0.25">
      <c r="A1525" s="2" t="str">
        <f>"MUS-BOX7DD"</f>
        <v>MUS-BOX7DD</v>
      </c>
      <c r="B1525" s="2" t="str">
        <f>"Anschlussbox für MUSE CAPSULE, SPOT, DALI dimmbar, alugrau"</f>
        <v>Anschlussbox für MUSE CAPSULE, SPOT, DALI dimmbar, alugrau</v>
      </c>
      <c r="C1525" s="16">
        <v>176.5</v>
      </c>
      <c r="D1525" s="11">
        <v>316</v>
      </c>
      <c r="E1525" s="7">
        <f t="shared" si="71"/>
        <v>1</v>
      </c>
      <c r="F1525" s="22" t="str">
        <f>IF(ISERROR(VLOOKUP($A1525,#REF!,3,0)),"x",VLOOKUP($A1525,#REF!,3,FALSE))</f>
        <v>x</v>
      </c>
      <c r="G1525" s="9">
        <f t="shared" si="72"/>
        <v>1</v>
      </c>
      <c r="H1525" s="13">
        <f t="shared" si="73"/>
        <v>176.5</v>
      </c>
    </row>
    <row r="1526" spans="1:8" x14ac:dyDescent="0.25">
      <c r="A1526" s="2" t="str">
        <f>"MUS-P300"</f>
        <v>MUS-P300</v>
      </c>
      <c r="B1526" s="2" t="str">
        <f>"Pfahl für MUSE CAPSULE, STILLA, SPOT, 300mm, 220V-240V, "</f>
        <v xml:space="preserve">Pfahl für MUSE CAPSULE, STILLA, SPOT, 300mm, 220V-240V, </v>
      </c>
      <c r="C1526" s="16">
        <v>196.5</v>
      </c>
      <c r="D1526" s="11">
        <v>317</v>
      </c>
      <c r="E1526" s="7">
        <f t="shared" si="71"/>
        <v>1</v>
      </c>
      <c r="F1526" s="22" t="str">
        <f>IF(ISERROR(VLOOKUP($A1526,#REF!,3,0)),"x",VLOOKUP($A1526,#REF!,3,FALSE))</f>
        <v>x</v>
      </c>
      <c r="G1526" s="9">
        <f t="shared" si="72"/>
        <v>1</v>
      </c>
      <c r="H1526" s="13">
        <f t="shared" si="73"/>
        <v>196.5</v>
      </c>
    </row>
    <row r="1527" spans="1:8" x14ac:dyDescent="0.25">
      <c r="A1527" s="2" t="str">
        <f>"MUS-P300-24"</f>
        <v>MUS-P300-24</v>
      </c>
      <c r="B1527" s="2" t="str">
        <f>"Pfahl für MUSE CAPSULE, STILLA, SPOT, 300mm, 24Vdc, schwarz"</f>
        <v>Pfahl für MUSE CAPSULE, STILLA, SPOT, 300mm, 24Vdc, schwarz</v>
      </c>
      <c r="C1527" s="16">
        <v>138</v>
      </c>
      <c r="D1527" s="11">
        <v>317</v>
      </c>
      <c r="E1527" s="7">
        <f t="shared" si="71"/>
        <v>1</v>
      </c>
      <c r="F1527" s="22" t="str">
        <f>IF(ISERROR(VLOOKUP($A1527,#REF!,3,0)),"x",VLOOKUP($A1527,#REF!,3,FALSE))</f>
        <v>x</v>
      </c>
      <c r="G1527" s="9">
        <f t="shared" si="72"/>
        <v>1</v>
      </c>
      <c r="H1527" s="13">
        <f t="shared" si="73"/>
        <v>138</v>
      </c>
    </row>
    <row r="1528" spans="1:8" x14ac:dyDescent="0.25">
      <c r="A1528" s="2" t="str">
        <f>"MUS-P500"</f>
        <v>MUS-P500</v>
      </c>
      <c r="B1528" s="2" t="str">
        <f>"Pfahl für MUSE CAPSULE, STILLA, SPOT, 500mm, 220V-240V, schwarz"</f>
        <v>Pfahl für MUSE CAPSULE, STILLA, SPOT, 500mm, 220V-240V, schwarz</v>
      </c>
      <c r="C1528" s="16">
        <v>208.75</v>
      </c>
      <c r="D1528" s="11">
        <v>317</v>
      </c>
      <c r="E1528" s="7">
        <f t="shared" si="71"/>
        <v>1</v>
      </c>
      <c r="F1528" s="22" t="str">
        <f>IF(ISERROR(VLOOKUP($A1528,#REF!,3,0)),"x",VLOOKUP($A1528,#REF!,3,FALSE))</f>
        <v>x</v>
      </c>
      <c r="G1528" s="9">
        <f t="shared" si="72"/>
        <v>1</v>
      </c>
      <c r="H1528" s="13">
        <f t="shared" si="73"/>
        <v>208.75</v>
      </c>
    </row>
    <row r="1529" spans="1:8" x14ac:dyDescent="0.25">
      <c r="A1529" s="2" t="str">
        <f>"MUS-P500-24"</f>
        <v>MUS-P500-24</v>
      </c>
      <c r="B1529" s="2" t="str">
        <f>"Pfahl für MUSE CAPSULE, STILLA, SPOT, 500mm, 24Vdc, schwarz "</f>
        <v xml:space="preserve">Pfahl für MUSE CAPSULE, STILLA, SPOT, 500mm, 24Vdc, schwarz </v>
      </c>
      <c r="C1529" s="16">
        <v>150.5</v>
      </c>
      <c r="D1529" s="11">
        <v>317</v>
      </c>
      <c r="E1529" s="7">
        <f t="shared" si="71"/>
        <v>1</v>
      </c>
      <c r="F1529" s="22" t="str">
        <f>IF(ISERROR(VLOOKUP($A1529,#REF!,3,0)),"x",VLOOKUP($A1529,#REF!,3,FALSE))</f>
        <v>x</v>
      </c>
      <c r="G1529" s="9">
        <f t="shared" si="72"/>
        <v>1</v>
      </c>
      <c r="H1529" s="13">
        <f t="shared" si="73"/>
        <v>150.5</v>
      </c>
    </row>
    <row r="1530" spans="1:8" x14ac:dyDescent="0.25">
      <c r="A1530" s="2" t="str">
        <f>"MUS-P800"</f>
        <v>MUS-P800</v>
      </c>
      <c r="B1530" s="2" t="str">
        <f>"Pfahl für MUSE CAPSULE, STILLA, SPOT, 800mm, 220V-240V, schwarz"</f>
        <v>Pfahl für MUSE CAPSULE, STILLA, SPOT, 800mm, 220V-240V, schwarz</v>
      </c>
      <c r="C1530" s="16">
        <v>235</v>
      </c>
      <c r="D1530" s="11">
        <v>317</v>
      </c>
      <c r="E1530" s="7">
        <f t="shared" si="71"/>
        <v>1</v>
      </c>
      <c r="F1530" s="22" t="str">
        <f>IF(ISERROR(VLOOKUP($A1530,#REF!,3,0)),"x",VLOOKUP($A1530,#REF!,3,FALSE))</f>
        <v>x</v>
      </c>
      <c r="G1530" s="9">
        <f t="shared" si="72"/>
        <v>1</v>
      </c>
      <c r="H1530" s="13">
        <f t="shared" si="73"/>
        <v>235</v>
      </c>
    </row>
    <row r="1531" spans="1:8" x14ac:dyDescent="0.25">
      <c r="A1531" s="2" t="str">
        <f>"MUS-P800-24"</f>
        <v>MUS-P800-24</v>
      </c>
      <c r="B1531" s="2" t="str">
        <f>"Pfahl für MUSE CAPSULE, STILLA, SPOT, 800mm, 24Vdc, schwarz"</f>
        <v>Pfahl für MUSE CAPSULE, STILLA, SPOT, 800mm, 24Vdc, schwarz</v>
      </c>
      <c r="C1531" s="16">
        <v>170.25</v>
      </c>
      <c r="D1531" s="11">
        <v>317</v>
      </c>
      <c r="E1531" s="7">
        <f t="shared" si="71"/>
        <v>1</v>
      </c>
      <c r="F1531" s="22" t="str">
        <f>IF(ISERROR(VLOOKUP($A1531,#REF!,3,0)),"x",VLOOKUP($A1531,#REF!,3,FALSE))</f>
        <v>x</v>
      </c>
      <c r="G1531" s="9">
        <f t="shared" si="72"/>
        <v>1</v>
      </c>
      <c r="H1531" s="13">
        <f t="shared" si="73"/>
        <v>170.25</v>
      </c>
    </row>
    <row r="1532" spans="1:8" x14ac:dyDescent="0.25">
      <c r="A1532" s="2" t="str">
        <f>"MUS-ST500-24"</f>
        <v>MUS-ST500-24</v>
      </c>
      <c r="B1532" s="2" t="str">
        <f>"Stiel starr für MUSE CAPSULE, STILLA, Ø10mm, 500mm, 24V, Alu-Befestigung"</f>
        <v>Stiel starr für MUSE CAPSULE, STILLA, Ø10mm, 500mm, 24V, Alu-Befestigung</v>
      </c>
      <c r="C1532" s="16">
        <v>144.25</v>
      </c>
      <c r="D1532" s="11">
        <v>317</v>
      </c>
      <c r="E1532" s="7">
        <f t="shared" si="71"/>
        <v>1</v>
      </c>
      <c r="F1532" s="22" t="str">
        <f>IF(ISERROR(VLOOKUP($A1532,#REF!,3,0)),"x",VLOOKUP($A1532,#REF!,3,FALSE))</f>
        <v>x</v>
      </c>
      <c r="G1532" s="9">
        <f t="shared" si="72"/>
        <v>1</v>
      </c>
      <c r="H1532" s="13">
        <f t="shared" si="73"/>
        <v>144.25</v>
      </c>
    </row>
    <row r="1533" spans="1:8" x14ac:dyDescent="0.25">
      <c r="A1533" s="2" t="str">
        <f>"MUS-ST800-24"</f>
        <v>MUS-ST800-24</v>
      </c>
      <c r="B1533" s="2" t="str">
        <f>"Stiel starr für MUSE CAPSULE, STILLA, Ø10mm, 800mm, 24V, Alu-Befestigung"</f>
        <v>Stiel starr für MUSE CAPSULE, STILLA, Ø10mm, 800mm, 24V, Alu-Befestigung</v>
      </c>
      <c r="C1533" s="16">
        <v>156.75</v>
      </c>
      <c r="D1533" s="11">
        <v>317</v>
      </c>
      <c r="E1533" s="7">
        <f t="shared" si="71"/>
        <v>1</v>
      </c>
      <c r="F1533" s="22" t="str">
        <f>IF(ISERROR(VLOOKUP($A1533,#REF!,3,0)),"x",VLOOKUP($A1533,#REF!,3,FALSE))</f>
        <v>x</v>
      </c>
      <c r="G1533" s="9">
        <f t="shared" si="72"/>
        <v>1</v>
      </c>
      <c r="H1533" s="13">
        <f t="shared" si="73"/>
        <v>156.75</v>
      </c>
    </row>
    <row r="1534" spans="1:8" x14ac:dyDescent="0.25">
      <c r="A1534" s="2" t="str">
        <f>"MUS-STB500-24"</f>
        <v>MUS-STB500-24</v>
      </c>
      <c r="B1534" s="2" t="str">
        <f>"Stiel gebogen für MUSE CAPSULE, STILLA, Ø10mm, 500mm, 24V, Alu-Befestigung"</f>
        <v>Stiel gebogen für MUSE CAPSULE, STILLA, Ø10mm, 500mm, 24V, Alu-Befestigung</v>
      </c>
      <c r="C1534" s="16">
        <v>144.25</v>
      </c>
      <c r="D1534" s="11">
        <v>317</v>
      </c>
      <c r="E1534" s="7">
        <f t="shared" si="71"/>
        <v>1</v>
      </c>
      <c r="F1534" s="22" t="str">
        <f>IF(ISERROR(VLOOKUP($A1534,#REF!,3,0)),"x",VLOOKUP($A1534,#REF!,3,FALSE))</f>
        <v>x</v>
      </c>
      <c r="G1534" s="9">
        <f t="shared" si="72"/>
        <v>1</v>
      </c>
      <c r="H1534" s="13">
        <f t="shared" si="73"/>
        <v>144.25</v>
      </c>
    </row>
    <row r="1535" spans="1:8" x14ac:dyDescent="0.25">
      <c r="A1535" s="2" t="str">
        <f>"MUS-STB800-24"</f>
        <v>MUS-STB800-24</v>
      </c>
      <c r="B1535" s="2" t="str">
        <f>"Stiel gebogen für MUSE CAPSULE, STILLA, Ø10mm, 800mm, 24V, Alu-Befestigung"</f>
        <v>Stiel gebogen für MUSE CAPSULE, STILLA, Ø10mm, 800mm, 24V, Alu-Befestigung</v>
      </c>
      <c r="C1535" s="16">
        <v>156.75</v>
      </c>
      <c r="D1535" s="11">
        <v>317</v>
      </c>
      <c r="E1535" s="7">
        <f t="shared" si="71"/>
        <v>1</v>
      </c>
      <c r="F1535" s="22" t="str">
        <f>IF(ISERROR(VLOOKUP($A1535,#REF!,3,0)),"x",VLOOKUP($A1535,#REF!,3,FALSE))</f>
        <v>x</v>
      </c>
      <c r="G1535" s="9">
        <f t="shared" si="72"/>
        <v>1</v>
      </c>
      <c r="H1535" s="13">
        <f t="shared" si="73"/>
        <v>156.75</v>
      </c>
    </row>
    <row r="1536" spans="1:8" x14ac:dyDescent="0.25">
      <c r="A1536" s="2" t="str">
        <f>"MUS-STBS500-24"</f>
        <v>MUS-STBS500-24</v>
      </c>
      <c r="B1536" s="2" t="str">
        <f>"Stiel gebogen für MUSE CAPSULE, STILLA, Ø10mm, 500mm, 24V, Erdspies"</f>
        <v>Stiel gebogen für MUSE CAPSULE, STILLA, Ø10mm, 500mm, 24V, Erdspies</v>
      </c>
      <c r="C1536" s="16">
        <v>130.5</v>
      </c>
      <c r="D1536" s="11">
        <v>317</v>
      </c>
      <c r="E1536" s="7">
        <f t="shared" si="71"/>
        <v>1</v>
      </c>
      <c r="F1536" s="22" t="str">
        <f>IF(ISERROR(VLOOKUP($A1536,#REF!,3,0)),"x",VLOOKUP($A1536,#REF!,3,FALSE))</f>
        <v>x</v>
      </c>
      <c r="G1536" s="9">
        <f t="shared" si="72"/>
        <v>1</v>
      </c>
      <c r="H1536" s="13">
        <f t="shared" si="73"/>
        <v>130.5</v>
      </c>
    </row>
    <row r="1537" spans="1:8" x14ac:dyDescent="0.25">
      <c r="A1537" s="2" t="str">
        <f>"MUS-STBS800-24"</f>
        <v>MUS-STBS800-24</v>
      </c>
      <c r="B1537" s="2" t="str">
        <f>"Stiel gebogen für MUSE CAPSULE, STILLA, Ø10mm, 800mm, 24V, Erdspies"</f>
        <v>Stiel gebogen für MUSE CAPSULE, STILLA, Ø10mm, 800mm, 24V, Erdspies</v>
      </c>
      <c r="C1537" s="16">
        <v>144.25</v>
      </c>
      <c r="D1537" s="11">
        <v>317</v>
      </c>
      <c r="E1537" s="7">
        <f t="shared" si="71"/>
        <v>1</v>
      </c>
      <c r="F1537" s="22" t="str">
        <f>IF(ISERROR(VLOOKUP($A1537,#REF!,3,0)),"x",VLOOKUP($A1537,#REF!,3,FALSE))</f>
        <v>x</v>
      </c>
      <c r="G1537" s="9">
        <f t="shared" si="72"/>
        <v>1</v>
      </c>
      <c r="H1537" s="13">
        <f t="shared" si="73"/>
        <v>144.25</v>
      </c>
    </row>
    <row r="1538" spans="1:8" x14ac:dyDescent="0.25">
      <c r="A1538" s="2" t="str">
        <f>"MUS-STS500-24"</f>
        <v>MUS-STS500-24</v>
      </c>
      <c r="B1538" s="2" t="str">
        <f>"Stiel starr für MUSE CAPSULE, STILLA, Ø10mm, 500mm, 24V, Erdspies"</f>
        <v>Stiel starr für MUSE CAPSULE, STILLA, Ø10mm, 500mm, 24V, Erdspies</v>
      </c>
      <c r="C1538" s="16">
        <v>130.5</v>
      </c>
      <c r="D1538" s="11">
        <v>317</v>
      </c>
      <c r="E1538" s="7">
        <f t="shared" si="71"/>
        <v>1</v>
      </c>
      <c r="F1538" s="22" t="str">
        <f>IF(ISERROR(VLOOKUP($A1538,#REF!,3,0)),"x",VLOOKUP($A1538,#REF!,3,FALSE))</f>
        <v>x</v>
      </c>
      <c r="G1538" s="9">
        <f t="shared" si="72"/>
        <v>1</v>
      </c>
      <c r="H1538" s="13">
        <f t="shared" si="73"/>
        <v>130.5</v>
      </c>
    </row>
    <row r="1539" spans="1:8" x14ac:dyDescent="0.25">
      <c r="A1539" s="2" t="str">
        <f>"MUS-STS800-24"</f>
        <v>MUS-STS800-24</v>
      </c>
      <c r="B1539" s="2" t="str">
        <f>"Stiel starr für MUSE CAPSULE, STILLA, Ø10mm, 800mm, 24V, Erdspies"</f>
        <v>Stiel starr für MUSE CAPSULE, STILLA, Ø10mm, 800mm, 24V, Erdspies</v>
      </c>
      <c r="C1539" s="16">
        <v>144.25</v>
      </c>
      <c r="D1539" s="11">
        <v>317</v>
      </c>
      <c r="E1539" s="7">
        <f t="shared" ref="E1539:E1602" si="74">G1539</f>
        <v>1</v>
      </c>
      <c r="F1539" s="22" t="str">
        <f>IF(ISERROR(VLOOKUP($A1539,#REF!,3,0)),"x",VLOOKUP($A1539,#REF!,3,FALSE))</f>
        <v>x</v>
      </c>
      <c r="G1539" s="9">
        <f t="shared" ref="G1539:G1602" si="75">IF(C1539&lt;F1539,1,IF(C1539&gt;F1539,-1,0))</f>
        <v>1</v>
      </c>
      <c r="H1539" s="13">
        <f t="shared" si="73"/>
        <v>144.25</v>
      </c>
    </row>
    <row r="1540" spans="1:8" x14ac:dyDescent="0.25">
      <c r="A1540" s="2" t="str">
        <f>"MUS-WH24"</f>
        <v>MUS-WH24</v>
      </c>
      <c r="B1540" s="2" t="str">
        <f>"Wandanschluss für MUSE CAPSULE, STILLA, SPOT, 24Vdc, schwarz"</f>
        <v>Wandanschluss für MUSE CAPSULE, STILLA, SPOT, 24Vdc, schwarz</v>
      </c>
      <c r="C1540" s="16">
        <v>66</v>
      </c>
      <c r="D1540" s="11">
        <v>316</v>
      </c>
      <c r="E1540" s="7">
        <f t="shared" si="74"/>
        <v>1</v>
      </c>
      <c r="F1540" s="22" t="str">
        <f>IF(ISERROR(VLOOKUP($A1540,#REF!,3,0)),"x",VLOOKUP($A1540,#REF!,3,FALSE))</f>
        <v>x</v>
      </c>
      <c r="G1540" s="9">
        <f t="shared" si="75"/>
        <v>1</v>
      </c>
      <c r="H1540" s="13">
        <f t="shared" si="73"/>
        <v>66</v>
      </c>
    </row>
    <row r="1541" spans="1:8" x14ac:dyDescent="0.25">
      <c r="A1541" s="2" t="str">
        <f>"MUSH-29NW6"</f>
        <v>MUSH-29NW6</v>
      </c>
      <c r="B1541" s="2" t="str">
        <f>"5523AN4K MUSH Leuchtenkopf, LED 29W, Ø360 mm, 4000K, Alu, anthrazit"</f>
        <v>5523AN4K MUSH Leuchtenkopf, LED 29W, Ø360 mm, 4000K, Alu, anthrazit</v>
      </c>
      <c r="C1541" s="16">
        <v>720</v>
      </c>
      <c r="D1541" s="11">
        <v>365</v>
      </c>
      <c r="E1541" s="7">
        <f t="shared" si="74"/>
        <v>1</v>
      </c>
      <c r="F1541" s="22" t="str">
        <f>IF(ISERROR(VLOOKUP($A1541,#REF!,3,0)),"x",VLOOKUP($A1541,#REF!,3,FALSE))</f>
        <v>x</v>
      </c>
      <c r="G1541" s="9">
        <f t="shared" si="75"/>
        <v>1</v>
      </c>
      <c r="H1541" s="13">
        <f t="shared" ref="H1541:H1604" si="76">IF(F1541="x",C1541,F1541)</f>
        <v>720</v>
      </c>
    </row>
    <row r="1542" spans="1:8" x14ac:dyDescent="0.25">
      <c r="A1542" s="2" t="str">
        <f>"MUSH-29WW6"</f>
        <v>MUSH-29WW6</v>
      </c>
      <c r="B1542" s="2" t="str">
        <f>"5523AN3K MUSH Leuchtenkopf, LED 29W, Ø360 mm, 3000K, Alu, anthrazit"</f>
        <v>5523AN3K MUSH Leuchtenkopf, LED 29W, Ø360 mm, 3000K, Alu, anthrazit</v>
      </c>
      <c r="C1542" s="16">
        <v>720</v>
      </c>
      <c r="D1542" s="11">
        <v>365</v>
      </c>
      <c r="E1542" s="7">
        <f t="shared" si="74"/>
        <v>1</v>
      </c>
      <c r="F1542" s="22" t="str">
        <f>IF(ISERROR(VLOOKUP($A1542,#REF!,3,0)),"x",VLOOKUP($A1542,#REF!,3,FALSE))</f>
        <v>x</v>
      </c>
      <c r="G1542" s="9">
        <f t="shared" si="75"/>
        <v>1</v>
      </c>
      <c r="H1542" s="13">
        <f t="shared" si="76"/>
        <v>720</v>
      </c>
    </row>
    <row r="1543" spans="1:8" x14ac:dyDescent="0.25">
      <c r="A1543" s="2" t="str">
        <f>"MUSH-43NW6"</f>
        <v>MUSH-43NW6</v>
      </c>
      <c r="B1543" s="2" t="str">
        <f>"5524AN4K MUSH Leuchtenkopf, LED 43W, Ø360 mm, 4000K, Alu, anthrazit"</f>
        <v>5524AN4K MUSH Leuchtenkopf, LED 43W, Ø360 mm, 4000K, Alu, anthrazit</v>
      </c>
      <c r="C1543" s="16">
        <v>742.5</v>
      </c>
      <c r="D1543" s="11">
        <v>365</v>
      </c>
      <c r="E1543" s="7">
        <f t="shared" si="74"/>
        <v>1</v>
      </c>
      <c r="F1543" s="22" t="str">
        <f>IF(ISERROR(VLOOKUP($A1543,#REF!,3,0)),"x",VLOOKUP($A1543,#REF!,3,FALSE))</f>
        <v>x</v>
      </c>
      <c r="G1543" s="9">
        <f t="shared" si="75"/>
        <v>1</v>
      </c>
      <c r="H1543" s="13">
        <f t="shared" si="76"/>
        <v>742.5</v>
      </c>
    </row>
    <row r="1544" spans="1:8" x14ac:dyDescent="0.25">
      <c r="A1544" s="2" t="str">
        <f>"MUSH-43WW6"</f>
        <v>MUSH-43WW6</v>
      </c>
      <c r="B1544" s="2" t="str">
        <f>"5524AN3K MUSH Leuchtenkopf, LED 43W, Ø360 mm, 3000K, Alu, anthrazit"</f>
        <v>5524AN3K MUSH Leuchtenkopf, LED 43W, Ø360 mm, 3000K, Alu, anthrazit</v>
      </c>
      <c r="C1544" s="16">
        <v>742.5</v>
      </c>
      <c r="D1544" s="11">
        <v>365</v>
      </c>
      <c r="E1544" s="7">
        <f t="shared" si="74"/>
        <v>1</v>
      </c>
      <c r="F1544" s="22" t="str">
        <f>IF(ISERROR(VLOOKUP($A1544,#REF!,3,0)),"x",VLOOKUP($A1544,#REF!,3,FALSE))</f>
        <v>x</v>
      </c>
      <c r="G1544" s="9">
        <f t="shared" si="75"/>
        <v>1</v>
      </c>
      <c r="H1544" s="13">
        <f t="shared" si="76"/>
        <v>742.5</v>
      </c>
    </row>
    <row r="1545" spans="1:8" x14ac:dyDescent="0.25">
      <c r="A1545" s="2" t="str">
        <f>"MUSL-3WW2"</f>
        <v>MUSL-3WW2</v>
      </c>
      <c r="B1545" s="2" t="str">
        <f>"MUSE STILLA LONG Leuchtenkopf MID-POWER LED, 3W, 3000K, 24Vdc, schwarz-eloxiert "</f>
        <v xml:space="preserve">MUSE STILLA LONG Leuchtenkopf MID-POWER LED, 3W, 3000K, 24Vdc, schwarz-eloxiert </v>
      </c>
      <c r="C1545" s="16">
        <v>130.5</v>
      </c>
      <c r="D1545" s="11">
        <v>316</v>
      </c>
      <c r="E1545" s="7">
        <f t="shared" si="74"/>
        <v>1</v>
      </c>
      <c r="F1545" s="22" t="str">
        <f>IF(ISERROR(VLOOKUP($A1545,#REF!,3,0)),"x",VLOOKUP($A1545,#REF!,3,FALSE))</f>
        <v>x</v>
      </c>
      <c r="G1545" s="9">
        <f t="shared" si="75"/>
        <v>1</v>
      </c>
      <c r="H1545" s="13">
        <f t="shared" si="76"/>
        <v>130.5</v>
      </c>
    </row>
    <row r="1546" spans="1:8" x14ac:dyDescent="0.25">
      <c r="A1546" s="2" t="str">
        <f>"NAH-12NW7"</f>
        <v>NAH-12NW7</v>
      </c>
      <c r="B1546" s="2" t="str">
        <f>"NAH Lichtleiste 12,4W,  4000K, 854mm"</f>
        <v>NAH Lichtleiste 12,4W,  4000K, 854mm</v>
      </c>
      <c r="C1546" s="16">
        <v>49.5</v>
      </c>
      <c r="D1546" s="11">
        <v>89</v>
      </c>
      <c r="E1546" s="7">
        <f t="shared" si="74"/>
        <v>1</v>
      </c>
      <c r="F1546" s="22" t="str">
        <f>IF(ISERROR(VLOOKUP($A1546,#REF!,3,0)),"x",VLOOKUP($A1546,#REF!,3,FALSE))</f>
        <v>x</v>
      </c>
      <c r="G1546" s="9">
        <f t="shared" si="75"/>
        <v>1</v>
      </c>
      <c r="H1546" s="13">
        <f t="shared" si="76"/>
        <v>49.5</v>
      </c>
    </row>
    <row r="1547" spans="1:8" x14ac:dyDescent="0.25">
      <c r="A1547" s="2" t="str">
        <f>"NAH-12WW7"</f>
        <v>NAH-12WW7</v>
      </c>
      <c r="B1547" s="2" t="str">
        <f>"NAH Lichtleiste 12,4W,  3000K, 854mm"</f>
        <v>NAH Lichtleiste 12,4W,  3000K, 854mm</v>
      </c>
      <c r="C1547" s="16">
        <v>49.5</v>
      </c>
      <c r="D1547" s="11">
        <v>89</v>
      </c>
      <c r="E1547" s="7">
        <f t="shared" si="74"/>
        <v>1</v>
      </c>
      <c r="F1547" s="22" t="str">
        <f>IF(ISERROR(VLOOKUP($A1547,#REF!,3,0)),"x",VLOOKUP($A1547,#REF!,3,FALSE))</f>
        <v>x</v>
      </c>
      <c r="G1547" s="9">
        <f t="shared" si="75"/>
        <v>1</v>
      </c>
      <c r="H1547" s="13">
        <f t="shared" si="76"/>
        <v>49.5</v>
      </c>
    </row>
    <row r="1548" spans="1:8" x14ac:dyDescent="0.25">
      <c r="A1548" s="2" t="str">
        <f>"NAH-4NW7"</f>
        <v>NAH-4NW7</v>
      </c>
      <c r="B1548" s="2" t="str">
        <f>"NAH Lichtleiste 4,4W,  4000K, 294mm"</f>
        <v>NAH Lichtleiste 4,4W,  4000K, 294mm</v>
      </c>
      <c r="C1548" s="16">
        <v>24.75</v>
      </c>
      <c r="D1548" s="11">
        <v>89</v>
      </c>
      <c r="E1548" s="7">
        <f t="shared" si="74"/>
        <v>1</v>
      </c>
      <c r="F1548" s="22" t="str">
        <f>IF(ISERROR(VLOOKUP($A1548,#REF!,3,0)),"x",VLOOKUP($A1548,#REF!,3,FALSE))</f>
        <v>x</v>
      </c>
      <c r="G1548" s="9">
        <f t="shared" si="75"/>
        <v>1</v>
      </c>
      <c r="H1548" s="13">
        <f t="shared" si="76"/>
        <v>24.75</v>
      </c>
    </row>
    <row r="1549" spans="1:8" x14ac:dyDescent="0.25">
      <c r="A1549" s="2" t="str">
        <f>"NAH-4WW7"</f>
        <v>NAH-4WW7</v>
      </c>
      <c r="B1549" s="2" t="str">
        <f>"NAH Lichtleiste 4,4W, 3000K, 294mm"</f>
        <v>NAH Lichtleiste 4,4W, 3000K, 294mm</v>
      </c>
      <c r="C1549" s="16">
        <v>24.75</v>
      </c>
      <c r="D1549" s="11">
        <v>89</v>
      </c>
      <c r="E1549" s="7">
        <f t="shared" si="74"/>
        <v>1</v>
      </c>
      <c r="F1549" s="22" t="str">
        <f>IF(ISERROR(VLOOKUP($A1549,#REF!,3,0)),"x",VLOOKUP($A1549,#REF!,3,FALSE))</f>
        <v>x</v>
      </c>
      <c r="G1549" s="9">
        <f t="shared" si="75"/>
        <v>1</v>
      </c>
      <c r="H1549" s="13">
        <f t="shared" si="76"/>
        <v>24.75</v>
      </c>
    </row>
    <row r="1550" spans="1:8" x14ac:dyDescent="0.25">
      <c r="A1550" s="2" t="str">
        <f>"NAH-8NW7"</f>
        <v>NAH-8NW7</v>
      </c>
      <c r="B1550" s="2" t="str">
        <f>"NAH Lichtleiste 8,6W,  4000K, 574mm"</f>
        <v>NAH Lichtleiste 8,6W,  4000K, 574mm</v>
      </c>
      <c r="C1550" s="16">
        <v>36.5</v>
      </c>
      <c r="D1550" s="11">
        <v>89</v>
      </c>
      <c r="E1550" s="7">
        <f t="shared" si="74"/>
        <v>1</v>
      </c>
      <c r="F1550" s="22" t="str">
        <f>IF(ISERROR(VLOOKUP($A1550,#REF!,3,0)),"x",VLOOKUP($A1550,#REF!,3,FALSE))</f>
        <v>x</v>
      </c>
      <c r="G1550" s="9">
        <f t="shared" si="75"/>
        <v>1</v>
      </c>
      <c r="H1550" s="13">
        <f t="shared" si="76"/>
        <v>36.5</v>
      </c>
    </row>
    <row r="1551" spans="1:8" x14ac:dyDescent="0.25">
      <c r="A1551" s="2" t="str">
        <f>"NAH-8WW7"</f>
        <v>NAH-8WW7</v>
      </c>
      <c r="B1551" s="2" t="str">
        <f>"NAH Lichtleiste 8,6W, 3000K, 574mm"</f>
        <v>NAH Lichtleiste 8,6W, 3000K, 574mm</v>
      </c>
      <c r="C1551" s="16">
        <v>36.5</v>
      </c>
      <c r="D1551" s="11">
        <v>89</v>
      </c>
      <c r="E1551" s="7">
        <f t="shared" si="74"/>
        <v>1</v>
      </c>
      <c r="F1551" s="22" t="str">
        <f>IF(ISERROR(VLOOKUP($A1551,#REF!,3,0)),"x",VLOOKUP($A1551,#REF!,3,FALSE))</f>
        <v>x</v>
      </c>
      <c r="G1551" s="9">
        <f t="shared" si="75"/>
        <v>1</v>
      </c>
      <c r="H1551" s="13">
        <f t="shared" si="76"/>
        <v>36.5</v>
      </c>
    </row>
    <row r="1552" spans="1:8" x14ac:dyDescent="0.25">
      <c r="A1552" s="2" t="str">
        <f>"NAHE-12NW7"</f>
        <v>NAHE-12NW7</v>
      </c>
      <c r="B1552" s="2" t="str">
        <f>"NAHE Lichtleiste 12,4W, 4000K, eckige Abdeckung, 854mm"</f>
        <v>NAHE Lichtleiste 12,4W, 4000K, eckige Abdeckung, 854mm</v>
      </c>
      <c r="C1552" s="16">
        <v>57.5</v>
      </c>
      <c r="D1552" s="11">
        <v>89</v>
      </c>
      <c r="E1552" s="7">
        <f t="shared" si="74"/>
        <v>1</v>
      </c>
      <c r="F1552" s="22" t="str">
        <f>IF(ISERROR(VLOOKUP($A1552,#REF!,3,0)),"x",VLOOKUP($A1552,#REF!,3,FALSE))</f>
        <v>x</v>
      </c>
      <c r="G1552" s="9">
        <f t="shared" si="75"/>
        <v>1</v>
      </c>
      <c r="H1552" s="13">
        <f t="shared" si="76"/>
        <v>57.5</v>
      </c>
    </row>
    <row r="1553" spans="1:8" x14ac:dyDescent="0.25">
      <c r="A1553" s="2" t="str">
        <f>"NAHE-12WW7"</f>
        <v>NAHE-12WW7</v>
      </c>
      <c r="B1553" s="2" t="str">
        <f>"NAHE Lichtleiste 12,4W, 3000K, eckige Abdeckung, 854mm"</f>
        <v>NAHE Lichtleiste 12,4W, 3000K, eckige Abdeckung, 854mm</v>
      </c>
      <c r="C1553" s="16">
        <v>57.5</v>
      </c>
      <c r="D1553" s="11">
        <v>89</v>
      </c>
      <c r="E1553" s="7">
        <f t="shared" si="74"/>
        <v>1</v>
      </c>
      <c r="F1553" s="22" t="str">
        <f>IF(ISERROR(VLOOKUP($A1553,#REF!,3,0)),"x",VLOOKUP($A1553,#REF!,3,FALSE))</f>
        <v>x</v>
      </c>
      <c r="G1553" s="9">
        <f t="shared" si="75"/>
        <v>1</v>
      </c>
      <c r="H1553" s="13">
        <f t="shared" si="76"/>
        <v>57.5</v>
      </c>
    </row>
    <row r="1554" spans="1:8" x14ac:dyDescent="0.25">
      <c r="A1554" s="2" t="str">
        <f>"NAHE-4NW7"</f>
        <v>NAHE-4NW7</v>
      </c>
      <c r="B1554" s="2" t="str">
        <f>"NAHE Lichtleiste 4,4W, 4000K, eckige Abdeckung, 294mm"</f>
        <v>NAHE Lichtleiste 4,4W, 4000K, eckige Abdeckung, 294mm</v>
      </c>
      <c r="C1554" s="16">
        <v>26.25</v>
      </c>
      <c r="D1554" s="11">
        <v>89</v>
      </c>
      <c r="E1554" s="7">
        <f t="shared" si="74"/>
        <v>1</v>
      </c>
      <c r="F1554" s="22" t="str">
        <f>IF(ISERROR(VLOOKUP($A1554,#REF!,3,0)),"x",VLOOKUP($A1554,#REF!,3,FALSE))</f>
        <v>x</v>
      </c>
      <c r="G1554" s="9">
        <f t="shared" si="75"/>
        <v>1</v>
      </c>
      <c r="H1554" s="13">
        <f t="shared" si="76"/>
        <v>26.25</v>
      </c>
    </row>
    <row r="1555" spans="1:8" x14ac:dyDescent="0.25">
      <c r="A1555" s="2" t="str">
        <f>"NAHE-4WW7"</f>
        <v>NAHE-4WW7</v>
      </c>
      <c r="B1555" s="2" t="str">
        <f>"NAHE Lichtleiste 4,4W, 3000K, eckige Abdeckung, 294mm"</f>
        <v>NAHE Lichtleiste 4,4W, 3000K, eckige Abdeckung, 294mm</v>
      </c>
      <c r="C1555" s="16">
        <v>26.25</v>
      </c>
      <c r="D1555" s="11">
        <v>89</v>
      </c>
      <c r="E1555" s="7">
        <f t="shared" si="74"/>
        <v>1</v>
      </c>
      <c r="F1555" s="22" t="str">
        <f>IF(ISERROR(VLOOKUP($A1555,#REF!,3,0)),"x",VLOOKUP($A1555,#REF!,3,FALSE))</f>
        <v>x</v>
      </c>
      <c r="G1555" s="9">
        <f t="shared" si="75"/>
        <v>1</v>
      </c>
      <c r="H1555" s="13">
        <f t="shared" si="76"/>
        <v>26.25</v>
      </c>
    </row>
    <row r="1556" spans="1:8" x14ac:dyDescent="0.25">
      <c r="A1556" s="2" t="str">
        <f>"NAHE-8NW7"</f>
        <v>NAHE-8NW7</v>
      </c>
      <c r="B1556" s="2" t="str">
        <f>"NAHE Lichtleiste 8,6W, 4000K, eckige Abdeckung, 574mm"</f>
        <v>NAHE Lichtleiste 8,6W, 4000K, eckige Abdeckung, 574mm</v>
      </c>
      <c r="C1556" s="16">
        <v>40.5</v>
      </c>
      <c r="D1556" s="11">
        <v>89</v>
      </c>
      <c r="E1556" s="7">
        <f t="shared" si="74"/>
        <v>1</v>
      </c>
      <c r="F1556" s="22" t="str">
        <f>IF(ISERROR(VLOOKUP($A1556,#REF!,3,0)),"x",VLOOKUP($A1556,#REF!,3,FALSE))</f>
        <v>x</v>
      </c>
      <c r="G1556" s="9">
        <f t="shared" si="75"/>
        <v>1</v>
      </c>
      <c r="H1556" s="13">
        <f t="shared" si="76"/>
        <v>40.5</v>
      </c>
    </row>
    <row r="1557" spans="1:8" x14ac:dyDescent="0.25">
      <c r="A1557" s="2" t="str">
        <f>"NAHE-8WW7"</f>
        <v>NAHE-8WW7</v>
      </c>
      <c r="B1557" s="2" t="str">
        <f>"NAHE Lichtleiste 8,6W, 3000K, eckige Abdeckung, 574mm"</f>
        <v>NAHE Lichtleiste 8,6W, 3000K, eckige Abdeckung, 574mm</v>
      </c>
      <c r="C1557" s="16">
        <v>40.5</v>
      </c>
      <c r="D1557" s="11">
        <v>89</v>
      </c>
      <c r="E1557" s="7">
        <f t="shared" si="74"/>
        <v>1</v>
      </c>
      <c r="F1557" s="22" t="str">
        <f>IF(ISERROR(VLOOKUP($A1557,#REF!,3,0)),"x",VLOOKUP($A1557,#REF!,3,FALSE))</f>
        <v>x</v>
      </c>
      <c r="G1557" s="9">
        <f t="shared" si="75"/>
        <v>1</v>
      </c>
      <c r="H1557" s="13">
        <f t="shared" si="76"/>
        <v>40.5</v>
      </c>
    </row>
    <row r="1558" spans="1:8" x14ac:dyDescent="0.25">
      <c r="A1558" s="2" t="str">
        <f>"NAHR-12NW7"</f>
        <v>NAHR-12NW7</v>
      </c>
      <c r="B1558" s="2" t="str">
        <f>"NAHR Lichtleiste 12,4W, 4000K, runde Abdeckung, 854mm"</f>
        <v>NAHR Lichtleiste 12,4W, 4000K, runde Abdeckung, 854mm</v>
      </c>
      <c r="C1558" s="16">
        <v>57.5</v>
      </c>
      <c r="D1558" s="11">
        <v>89</v>
      </c>
      <c r="E1558" s="7">
        <f t="shared" si="74"/>
        <v>1</v>
      </c>
      <c r="F1558" s="22" t="str">
        <f>IF(ISERROR(VLOOKUP($A1558,#REF!,3,0)),"x",VLOOKUP($A1558,#REF!,3,FALSE))</f>
        <v>x</v>
      </c>
      <c r="G1558" s="9">
        <f t="shared" si="75"/>
        <v>1</v>
      </c>
      <c r="H1558" s="13">
        <f t="shared" si="76"/>
        <v>57.5</v>
      </c>
    </row>
    <row r="1559" spans="1:8" x14ac:dyDescent="0.25">
      <c r="A1559" s="2" t="str">
        <f>"NAHR-12WW7"</f>
        <v>NAHR-12WW7</v>
      </c>
      <c r="B1559" s="2" t="str">
        <f>"NAHR Lichtleiste 12,4W, 3000K, runde Abdeckung, 854mm"</f>
        <v>NAHR Lichtleiste 12,4W, 3000K, runde Abdeckung, 854mm</v>
      </c>
      <c r="C1559" s="16">
        <v>57.5</v>
      </c>
      <c r="D1559" s="11">
        <v>89</v>
      </c>
      <c r="E1559" s="7">
        <f t="shared" si="74"/>
        <v>1</v>
      </c>
      <c r="F1559" s="22" t="str">
        <f>IF(ISERROR(VLOOKUP($A1559,#REF!,3,0)),"x",VLOOKUP($A1559,#REF!,3,FALSE))</f>
        <v>x</v>
      </c>
      <c r="G1559" s="9">
        <f t="shared" si="75"/>
        <v>1</v>
      </c>
      <c r="H1559" s="13">
        <f t="shared" si="76"/>
        <v>57.5</v>
      </c>
    </row>
    <row r="1560" spans="1:8" x14ac:dyDescent="0.25">
      <c r="A1560" s="2" t="str">
        <f>"NAHR-4NW7"</f>
        <v>NAHR-4NW7</v>
      </c>
      <c r="B1560" s="2" t="str">
        <f>"NAHR Lichtleiste 4,4W, 4000K, runde Abdeckung, 294mm"</f>
        <v>NAHR Lichtleiste 4,4W, 4000K, runde Abdeckung, 294mm</v>
      </c>
      <c r="C1560" s="16">
        <v>26.25</v>
      </c>
      <c r="D1560" s="11">
        <v>89</v>
      </c>
      <c r="E1560" s="7">
        <f t="shared" si="74"/>
        <v>1</v>
      </c>
      <c r="F1560" s="22" t="str">
        <f>IF(ISERROR(VLOOKUP($A1560,#REF!,3,0)),"x",VLOOKUP($A1560,#REF!,3,FALSE))</f>
        <v>x</v>
      </c>
      <c r="G1560" s="9">
        <f t="shared" si="75"/>
        <v>1</v>
      </c>
      <c r="H1560" s="13">
        <f t="shared" si="76"/>
        <v>26.25</v>
      </c>
    </row>
    <row r="1561" spans="1:8" x14ac:dyDescent="0.25">
      <c r="A1561" s="2" t="str">
        <f>"NAHR-4WW7"</f>
        <v>NAHR-4WW7</v>
      </c>
      <c r="B1561" s="2" t="str">
        <f>"NAHR Lichtleiste 4,4W, 3000K, runde Abdeckung, 294mm"</f>
        <v>NAHR Lichtleiste 4,4W, 3000K, runde Abdeckung, 294mm</v>
      </c>
      <c r="C1561" s="16">
        <v>26.25</v>
      </c>
      <c r="D1561" s="11">
        <v>89</v>
      </c>
      <c r="E1561" s="7">
        <f t="shared" si="74"/>
        <v>1</v>
      </c>
      <c r="F1561" s="22" t="str">
        <f>IF(ISERROR(VLOOKUP($A1561,#REF!,3,0)),"x",VLOOKUP($A1561,#REF!,3,FALSE))</f>
        <v>x</v>
      </c>
      <c r="G1561" s="9">
        <f t="shared" si="75"/>
        <v>1</v>
      </c>
      <c r="H1561" s="13">
        <f t="shared" si="76"/>
        <v>26.25</v>
      </c>
    </row>
    <row r="1562" spans="1:8" x14ac:dyDescent="0.25">
      <c r="A1562" s="2" t="str">
        <f>"NAHR-8NW7"</f>
        <v>NAHR-8NW7</v>
      </c>
      <c r="B1562" s="2" t="str">
        <f>"NAHR Lichtleiste 8,6W, 4000K, runde Abdeckung, 574mm"</f>
        <v>NAHR Lichtleiste 8,6W, 4000K, runde Abdeckung, 574mm</v>
      </c>
      <c r="C1562" s="16">
        <v>39.25</v>
      </c>
      <c r="D1562" s="11">
        <v>89</v>
      </c>
      <c r="E1562" s="7">
        <f t="shared" si="74"/>
        <v>1</v>
      </c>
      <c r="F1562" s="22" t="str">
        <f>IF(ISERROR(VLOOKUP($A1562,#REF!,3,0)),"x",VLOOKUP($A1562,#REF!,3,FALSE))</f>
        <v>x</v>
      </c>
      <c r="G1562" s="9">
        <f t="shared" si="75"/>
        <v>1</v>
      </c>
      <c r="H1562" s="13">
        <f t="shared" si="76"/>
        <v>39.25</v>
      </c>
    </row>
    <row r="1563" spans="1:8" x14ac:dyDescent="0.25">
      <c r="A1563" s="2" t="str">
        <f>"NAHR-8WW7"</f>
        <v>NAHR-8WW7</v>
      </c>
      <c r="B1563" s="2" t="str">
        <f>"NAHR Lichtleiste 8,6W, 3000K, runde Abdeckung, 574mm"</f>
        <v>NAHR Lichtleiste 8,6W, 3000K, runde Abdeckung, 574mm</v>
      </c>
      <c r="C1563" s="16">
        <v>39.25</v>
      </c>
      <c r="D1563" s="11">
        <v>89</v>
      </c>
      <c r="E1563" s="7">
        <f t="shared" si="74"/>
        <v>1</v>
      </c>
      <c r="F1563" s="22" t="str">
        <f>IF(ISERROR(VLOOKUP($A1563,#REF!,3,0)),"x",VLOOKUP($A1563,#REF!,3,FALSE))</f>
        <v>x</v>
      </c>
      <c r="G1563" s="9">
        <f t="shared" si="75"/>
        <v>1</v>
      </c>
      <c r="H1563" s="13">
        <f t="shared" si="76"/>
        <v>39.25</v>
      </c>
    </row>
    <row r="1564" spans="1:8" x14ac:dyDescent="0.25">
      <c r="A1564" s="2" t="str">
        <f>"NAT-2WW1"</f>
        <v>NAT-2WW1</v>
      </c>
      <c r="B1564" s="2" t="str">
        <f>"NAT Wandanbauleuchte, LED, COB 3W, 3000K, integr. Netzteil, Gehäuse weiß"</f>
        <v>NAT Wandanbauleuchte, LED, COB 3W, 3000K, integr. Netzteil, Gehäuse weiß</v>
      </c>
      <c r="C1564" s="16">
        <v>97.5</v>
      </c>
      <c r="D1564" s="11">
        <v>187</v>
      </c>
      <c r="E1564" s="7">
        <f t="shared" si="74"/>
        <v>1</v>
      </c>
      <c r="F1564" s="22" t="str">
        <f>IF(ISERROR(VLOOKUP($A1564,#REF!,3,0)),"x",VLOOKUP($A1564,#REF!,3,FALSE))</f>
        <v>x</v>
      </c>
      <c r="G1564" s="9">
        <f t="shared" si="75"/>
        <v>1</v>
      </c>
      <c r="H1564" s="13">
        <f t="shared" si="76"/>
        <v>97.5</v>
      </c>
    </row>
    <row r="1565" spans="1:8" x14ac:dyDescent="0.25">
      <c r="A1565" s="2" t="str">
        <f>"NATE-2WW1"</f>
        <v>NATE-2WW1</v>
      </c>
      <c r="B1565" s="2" t="str">
        <f>"NATE Wandeinbauleuchte, LED, COB 3W, 3000K, integr. Netzteil, Gehäuse weiß"</f>
        <v>NATE Wandeinbauleuchte, LED, COB 3W, 3000K, integr. Netzteil, Gehäuse weiß</v>
      </c>
      <c r="C1565" s="16">
        <v>100</v>
      </c>
      <c r="D1565" s="11">
        <v>187</v>
      </c>
      <c r="E1565" s="7">
        <f t="shared" si="74"/>
        <v>1</v>
      </c>
      <c r="F1565" s="22" t="str">
        <f>IF(ISERROR(VLOOKUP($A1565,#REF!,3,0)),"x",VLOOKUP($A1565,#REF!,3,FALSE))</f>
        <v>x</v>
      </c>
      <c r="G1565" s="9">
        <f t="shared" si="75"/>
        <v>1</v>
      </c>
      <c r="H1565" s="13">
        <f t="shared" si="76"/>
        <v>100</v>
      </c>
    </row>
    <row r="1566" spans="1:8" x14ac:dyDescent="0.25">
      <c r="A1566" s="2" t="str">
        <f>"OLI-10001"</f>
        <v>OLI-10001</v>
      </c>
      <c r="B1566" s="2" t="str">
        <f>"OLIVIO Deckenstrahler, GU10, mit Deckenrosette, weiß"</f>
        <v>OLIVIO Deckenstrahler, GU10, mit Deckenrosette, weiß</v>
      </c>
      <c r="C1566" s="16">
        <v>25</v>
      </c>
      <c r="D1566" s="11">
        <v>45</v>
      </c>
      <c r="E1566" s="7">
        <f t="shared" si="74"/>
        <v>1</v>
      </c>
      <c r="F1566" s="22" t="str">
        <f>IF(ISERROR(VLOOKUP($A1566,#REF!,3,0)),"x",VLOOKUP($A1566,#REF!,3,FALSE))</f>
        <v>x</v>
      </c>
      <c r="G1566" s="9">
        <f t="shared" si="75"/>
        <v>1</v>
      </c>
      <c r="H1566" s="13">
        <f t="shared" si="76"/>
        <v>25</v>
      </c>
    </row>
    <row r="1567" spans="1:8" x14ac:dyDescent="0.25">
      <c r="A1567" s="2" t="str">
        <f>"OLI-10002"</f>
        <v>OLI-10002</v>
      </c>
      <c r="B1567" s="2" t="str">
        <f>"OLIVIO Deckenstrahler, GU10, mit Deckenrosette, schwarz"</f>
        <v>OLIVIO Deckenstrahler, GU10, mit Deckenrosette, schwarz</v>
      </c>
      <c r="C1567" s="16">
        <v>25</v>
      </c>
      <c r="D1567" s="11">
        <v>45</v>
      </c>
      <c r="E1567" s="7">
        <f t="shared" si="74"/>
        <v>1</v>
      </c>
      <c r="F1567" s="22" t="str">
        <f>IF(ISERROR(VLOOKUP($A1567,#REF!,3,0)),"x",VLOOKUP($A1567,#REF!,3,FALSE))</f>
        <v>x</v>
      </c>
      <c r="G1567" s="9">
        <f t="shared" si="75"/>
        <v>1</v>
      </c>
      <c r="H1567" s="13">
        <f t="shared" si="76"/>
        <v>25</v>
      </c>
    </row>
    <row r="1568" spans="1:8" x14ac:dyDescent="0.25">
      <c r="A1568" s="2" t="str">
        <f>"OLI-10011"</f>
        <v>OLI-10011</v>
      </c>
      <c r="B1568" s="2" t="str">
        <f>"OLIVIO Schienenstrahler, GU 10, mit 3-Ph.-Adapter, weiß"</f>
        <v>OLIVIO Schienenstrahler, GU 10, mit 3-Ph.-Adapter, weiß</v>
      </c>
      <c r="C1568" s="16">
        <v>27.5</v>
      </c>
      <c r="D1568" s="11">
        <v>45</v>
      </c>
      <c r="E1568" s="7">
        <f t="shared" si="74"/>
        <v>1</v>
      </c>
      <c r="F1568" s="22" t="str">
        <f>IF(ISERROR(VLOOKUP($A1568,#REF!,3,0)),"x",VLOOKUP($A1568,#REF!,3,FALSE))</f>
        <v>x</v>
      </c>
      <c r="G1568" s="9">
        <f t="shared" si="75"/>
        <v>1</v>
      </c>
      <c r="H1568" s="13">
        <f t="shared" si="76"/>
        <v>27.5</v>
      </c>
    </row>
    <row r="1569" spans="1:8" x14ac:dyDescent="0.25">
      <c r="A1569" s="2" t="str">
        <f>"OLI-10012"</f>
        <v>OLI-10012</v>
      </c>
      <c r="B1569" s="2" t="str">
        <f>"OLIVIO Schienenstrahler, GU 10, mit 3-Ph.-Adapter, schwarz"</f>
        <v>OLIVIO Schienenstrahler, GU 10, mit 3-Ph.-Adapter, schwarz</v>
      </c>
      <c r="C1569" s="16">
        <v>27.5</v>
      </c>
      <c r="D1569" s="11">
        <v>45</v>
      </c>
      <c r="E1569" s="7">
        <f t="shared" si="74"/>
        <v>1</v>
      </c>
      <c r="F1569" s="22" t="str">
        <f>IF(ISERROR(VLOOKUP($A1569,#REF!,3,0)),"x",VLOOKUP($A1569,#REF!,3,FALSE))</f>
        <v>x</v>
      </c>
      <c r="G1569" s="9">
        <f t="shared" si="75"/>
        <v>1</v>
      </c>
      <c r="H1569" s="13">
        <f t="shared" si="76"/>
        <v>27.5</v>
      </c>
    </row>
    <row r="1570" spans="1:8" x14ac:dyDescent="0.25">
      <c r="A1570" s="2" t="str">
        <f>"OLI-21"</f>
        <v>OLI-21</v>
      </c>
      <c r="B1570" s="2" t="str">
        <f>"OLIVIO Deckenleuchte mit 2 Lichtpunkten, GU 10, weiß, dreh- und schwenkbar"</f>
        <v>OLIVIO Deckenleuchte mit 2 Lichtpunkten, GU 10, weiß, dreh- und schwenkbar</v>
      </c>
      <c r="C1570" s="16">
        <v>40</v>
      </c>
      <c r="D1570" s="11">
        <v>45</v>
      </c>
      <c r="E1570" s="7">
        <f t="shared" si="74"/>
        <v>1</v>
      </c>
      <c r="F1570" s="22" t="str">
        <f>IF(ISERROR(VLOOKUP($A1570,#REF!,3,0)),"x",VLOOKUP($A1570,#REF!,3,FALSE))</f>
        <v>x</v>
      </c>
      <c r="G1570" s="9">
        <f t="shared" si="75"/>
        <v>1</v>
      </c>
      <c r="H1570" s="13">
        <f t="shared" si="76"/>
        <v>40</v>
      </c>
    </row>
    <row r="1571" spans="1:8" x14ac:dyDescent="0.25">
      <c r="A1571" s="2" t="str">
        <f>"OLI-22"</f>
        <v>OLI-22</v>
      </c>
      <c r="B1571" s="2" t="str">
        <f>"OLIVIO Deckenleuchte mit 2 Lichtpunkten, GU 10, schwarz, dreh- und schwenkbar"</f>
        <v>OLIVIO Deckenleuchte mit 2 Lichtpunkten, GU 10, schwarz, dreh- und schwenkbar</v>
      </c>
      <c r="C1571" s="16">
        <v>40</v>
      </c>
      <c r="D1571" s="11">
        <v>45</v>
      </c>
      <c r="E1571" s="7">
        <f t="shared" si="74"/>
        <v>1</v>
      </c>
      <c r="F1571" s="22" t="str">
        <f>IF(ISERROR(VLOOKUP($A1571,#REF!,3,0)),"x",VLOOKUP($A1571,#REF!,3,FALSE))</f>
        <v>x</v>
      </c>
      <c r="G1571" s="9">
        <f t="shared" si="75"/>
        <v>1</v>
      </c>
      <c r="H1571" s="13">
        <f t="shared" si="76"/>
        <v>40</v>
      </c>
    </row>
    <row r="1572" spans="1:8" x14ac:dyDescent="0.25">
      <c r="A1572" s="2" t="str">
        <f>"OLI-31"</f>
        <v>OLI-31</v>
      </c>
      <c r="B1572" s="2" t="str">
        <f>"OLIVIO Deckenleuchte mit 3 Lichtpunkten, GU 10, weiß, dreh- und schwenkbar"</f>
        <v>OLIVIO Deckenleuchte mit 3 Lichtpunkten, GU 10, weiß, dreh- und schwenkbar</v>
      </c>
      <c r="C1572" s="16">
        <v>55</v>
      </c>
      <c r="D1572" s="11">
        <v>45</v>
      </c>
      <c r="E1572" s="7">
        <f t="shared" si="74"/>
        <v>1</v>
      </c>
      <c r="F1572" s="22" t="str">
        <f>IF(ISERROR(VLOOKUP($A1572,#REF!,3,0)),"x",VLOOKUP($A1572,#REF!,3,FALSE))</f>
        <v>x</v>
      </c>
      <c r="G1572" s="9">
        <f t="shared" si="75"/>
        <v>1</v>
      </c>
      <c r="H1572" s="13">
        <f t="shared" si="76"/>
        <v>55</v>
      </c>
    </row>
    <row r="1573" spans="1:8" x14ac:dyDescent="0.25">
      <c r="A1573" s="2" t="str">
        <f>"OLI-32"</f>
        <v>OLI-32</v>
      </c>
      <c r="B1573" s="2" t="str">
        <f>"OLIVIO Deckenleuchte mit 3 Lichtpunkten, GU 10, schwarz, dreh- und schwenkbar"</f>
        <v>OLIVIO Deckenleuchte mit 3 Lichtpunkten, GU 10, schwarz, dreh- und schwenkbar</v>
      </c>
      <c r="C1573" s="16">
        <v>55</v>
      </c>
      <c r="D1573" s="11">
        <v>45</v>
      </c>
      <c r="E1573" s="7">
        <f t="shared" si="74"/>
        <v>1</v>
      </c>
      <c r="F1573" s="22" t="str">
        <f>IF(ISERROR(VLOOKUP($A1573,#REF!,3,0)),"x",VLOOKUP($A1573,#REF!,3,FALSE))</f>
        <v>x</v>
      </c>
      <c r="G1573" s="9">
        <f t="shared" si="75"/>
        <v>1</v>
      </c>
      <c r="H1573" s="13">
        <f t="shared" si="76"/>
        <v>55</v>
      </c>
    </row>
    <row r="1574" spans="1:8" x14ac:dyDescent="0.25">
      <c r="A1574" s="2" t="str">
        <f>"PACD-17NWO"</f>
        <v>PACD-17NWO</v>
      </c>
      <c r="B1574" s="2" t="str">
        <f>"Feuchtraum-Wannenleuchte EL Ecoline opal,  IP65, LED 10W/17W, L 660mm"</f>
        <v>Feuchtraum-Wannenleuchte EL Ecoline opal,  IP65, LED 10W/17W, L 660mm</v>
      </c>
      <c r="C1574" s="16">
        <v>79</v>
      </c>
      <c r="D1574" s="11">
        <v>207</v>
      </c>
      <c r="E1574" s="7">
        <f t="shared" si="74"/>
        <v>1</v>
      </c>
      <c r="F1574" s="22" t="str">
        <f>IF(ISERROR(VLOOKUP($A1574,#REF!,3,0)),"x",VLOOKUP($A1574,#REF!,3,FALSE))</f>
        <v>x</v>
      </c>
      <c r="G1574" s="9">
        <f t="shared" si="75"/>
        <v>1</v>
      </c>
      <c r="H1574" s="13">
        <f t="shared" si="76"/>
        <v>79</v>
      </c>
    </row>
    <row r="1575" spans="1:8" x14ac:dyDescent="0.25">
      <c r="A1575" s="2" t="str">
        <f>"PACD-33NWG"</f>
        <v>PACD-33NWG</v>
      </c>
      <c r="B1575" s="2" t="str">
        <f>"Feuchtraum-Wannenleuchte EL Ecoline geperlt,  IP65, LED 19/33W, L 1220mm"</f>
        <v>Feuchtraum-Wannenleuchte EL Ecoline geperlt,  IP65, LED 19/33W, L 1220mm</v>
      </c>
      <c r="C1575" s="16">
        <v>102.5</v>
      </c>
      <c r="D1575" s="11">
        <v>207</v>
      </c>
      <c r="E1575" s="7">
        <f t="shared" si="74"/>
        <v>1</v>
      </c>
      <c r="F1575" s="22" t="str">
        <f>IF(ISERROR(VLOOKUP($A1575,#REF!,3,0)),"x",VLOOKUP($A1575,#REF!,3,FALSE))</f>
        <v>x</v>
      </c>
      <c r="G1575" s="9">
        <f t="shared" si="75"/>
        <v>1</v>
      </c>
      <c r="H1575" s="13">
        <f t="shared" si="76"/>
        <v>102.5</v>
      </c>
    </row>
    <row r="1576" spans="1:8" x14ac:dyDescent="0.25">
      <c r="A1576" s="2" t="str">
        <f>"PACD-33NWG-DD"</f>
        <v>PACD-33NWG-DD</v>
      </c>
      <c r="B1576" s="2" t="str">
        <f>"Feuchtraum-Wannenleuchte EL Ecoline DALI geperlt, IP65, LED 19/33W, L 1220mm"</f>
        <v>Feuchtraum-Wannenleuchte EL Ecoline DALI geperlt, IP65, LED 19/33W, L 1220mm</v>
      </c>
      <c r="C1576" s="16">
        <v>135</v>
      </c>
      <c r="D1576" s="11">
        <v>207</v>
      </c>
      <c r="E1576" s="7">
        <f t="shared" si="74"/>
        <v>1</v>
      </c>
      <c r="F1576" s="22" t="str">
        <f>IF(ISERROR(VLOOKUP($A1576,#REF!,3,0)),"x",VLOOKUP($A1576,#REF!,3,FALSE))</f>
        <v>x</v>
      </c>
      <c r="G1576" s="9">
        <f t="shared" si="75"/>
        <v>1</v>
      </c>
      <c r="H1576" s="13">
        <f t="shared" si="76"/>
        <v>135</v>
      </c>
    </row>
    <row r="1577" spans="1:8" x14ac:dyDescent="0.25">
      <c r="A1577" s="2" t="str">
        <f>"PACD-33NWO"</f>
        <v>PACD-33NWO</v>
      </c>
      <c r="B1577" s="2" t="str">
        <f>"Feuchtraum-Wannenleuchte EL Ecoline opal,  IP65, LED 19/33W, L 1220mm"</f>
        <v>Feuchtraum-Wannenleuchte EL Ecoline opal,  IP65, LED 19/33W, L 1220mm</v>
      </c>
      <c r="C1577" s="16">
        <v>97.5</v>
      </c>
      <c r="D1577" s="11">
        <v>207</v>
      </c>
      <c r="E1577" s="7">
        <f t="shared" si="74"/>
        <v>1</v>
      </c>
      <c r="F1577" s="22" t="str">
        <f>IF(ISERROR(VLOOKUP($A1577,#REF!,3,0)),"x",VLOOKUP($A1577,#REF!,3,FALSE))</f>
        <v>x</v>
      </c>
      <c r="G1577" s="9">
        <f t="shared" si="75"/>
        <v>1</v>
      </c>
      <c r="H1577" s="13">
        <f t="shared" si="76"/>
        <v>97.5</v>
      </c>
    </row>
    <row r="1578" spans="1:8" x14ac:dyDescent="0.25">
      <c r="A1578" s="2" t="str">
        <f>"PACD-33NWO-DD"</f>
        <v>PACD-33NWO-DD</v>
      </c>
      <c r="B1578" s="2" t="str">
        <f>"Feuchtraum-Wannenleuchte EL Ecoline DALI opal, IP65, LED 19/33W, L 1220mm"</f>
        <v>Feuchtraum-Wannenleuchte EL Ecoline DALI opal, IP65, LED 19/33W, L 1220mm</v>
      </c>
      <c r="C1578" s="16">
        <v>130</v>
      </c>
      <c r="D1578" s="11">
        <v>207</v>
      </c>
      <c r="E1578" s="7">
        <f t="shared" si="74"/>
        <v>1</v>
      </c>
      <c r="F1578" s="22" t="str">
        <f>IF(ISERROR(VLOOKUP($A1578,#REF!,3,0)),"x",VLOOKUP($A1578,#REF!,3,FALSE))</f>
        <v>x</v>
      </c>
      <c r="G1578" s="9">
        <f t="shared" si="75"/>
        <v>1</v>
      </c>
      <c r="H1578" s="13">
        <f t="shared" si="76"/>
        <v>130</v>
      </c>
    </row>
    <row r="1579" spans="1:8" x14ac:dyDescent="0.25">
      <c r="A1579" s="2" t="str">
        <f>"PACD-43NWG"</f>
        <v>PACD-43NWG</v>
      </c>
      <c r="B1579" s="2" t="str">
        <f>"Feuchtraum-Wannenleuchte EL Ecoline geperlt,  IP65, LED 25/43W, L 1520mm"</f>
        <v>Feuchtraum-Wannenleuchte EL Ecoline geperlt,  IP65, LED 25/43W, L 1520mm</v>
      </c>
      <c r="C1579" s="16">
        <v>112.5</v>
      </c>
      <c r="D1579" s="11">
        <v>207</v>
      </c>
      <c r="E1579" s="7">
        <f t="shared" si="74"/>
        <v>1</v>
      </c>
      <c r="F1579" s="22" t="str">
        <f>IF(ISERROR(VLOOKUP($A1579,#REF!,3,0)),"x",VLOOKUP($A1579,#REF!,3,FALSE))</f>
        <v>x</v>
      </c>
      <c r="G1579" s="9">
        <f t="shared" si="75"/>
        <v>1</v>
      </c>
      <c r="H1579" s="13">
        <f t="shared" si="76"/>
        <v>112.5</v>
      </c>
    </row>
    <row r="1580" spans="1:8" x14ac:dyDescent="0.25">
      <c r="A1580" s="2" t="str">
        <f>"PACD-43NWG-DD"</f>
        <v>PACD-43NWG-DD</v>
      </c>
      <c r="B1580" s="2" t="str">
        <f>"Feuchtraum-Wannenleuchte EL Ecoline DALI geperlt,  IP65, LED 25/43W, L 1520mm"</f>
        <v>Feuchtraum-Wannenleuchte EL Ecoline DALI geperlt,  IP65, LED 25/43W, L 1520mm</v>
      </c>
      <c r="C1580" s="16">
        <v>147.5</v>
      </c>
      <c r="D1580" s="11">
        <v>207</v>
      </c>
      <c r="E1580" s="7">
        <f t="shared" si="74"/>
        <v>1</v>
      </c>
      <c r="F1580" s="22" t="str">
        <f>IF(ISERROR(VLOOKUP($A1580,#REF!,3,0)),"x",VLOOKUP($A1580,#REF!,3,FALSE))</f>
        <v>x</v>
      </c>
      <c r="G1580" s="9">
        <f t="shared" si="75"/>
        <v>1</v>
      </c>
      <c r="H1580" s="13">
        <f t="shared" si="76"/>
        <v>147.5</v>
      </c>
    </row>
    <row r="1581" spans="1:8" x14ac:dyDescent="0.25">
      <c r="A1581" s="2" t="str">
        <f>"PACD-43NWO"</f>
        <v>PACD-43NWO</v>
      </c>
      <c r="B1581" s="2" t="str">
        <f>"Feuchtraum-Wannenleuchte EL Ecoline opal,  IP65, LED 25/43W, L 1520mm"</f>
        <v>Feuchtraum-Wannenleuchte EL Ecoline opal,  IP65, LED 25/43W, L 1520mm</v>
      </c>
      <c r="C1581" s="16">
        <v>106</v>
      </c>
      <c r="D1581" s="11">
        <v>207</v>
      </c>
      <c r="E1581" s="7">
        <f t="shared" si="74"/>
        <v>1</v>
      </c>
      <c r="F1581" s="22" t="str">
        <f>IF(ISERROR(VLOOKUP($A1581,#REF!,3,0)),"x",VLOOKUP($A1581,#REF!,3,FALSE))</f>
        <v>x</v>
      </c>
      <c r="G1581" s="9">
        <f t="shared" si="75"/>
        <v>1</v>
      </c>
      <c r="H1581" s="13">
        <f t="shared" si="76"/>
        <v>106</v>
      </c>
    </row>
    <row r="1582" spans="1:8" x14ac:dyDescent="0.25">
      <c r="A1582" s="2" t="str">
        <f>"PACD-43NWO-DD"</f>
        <v>PACD-43NWO-DD</v>
      </c>
      <c r="B1582" s="2" t="str">
        <f>"Feuchtraum-Wannenleuchte EL Ecoline DALI opal,  IP65, LED 25/43W, L 1520mm"</f>
        <v>Feuchtraum-Wannenleuchte EL Ecoline DALI opal,  IP65, LED 25/43W, L 1520mm</v>
      </c>
      <c r="C1582" s="16">
        <v>153.5</v>
      </c>
      <c r="D1582" s="11">
        <v>207</v>
      </c>
      <c r="E1582" s="7">
        <f t="shared" si="74"/>
        <v>1</v>
      </c>
      <c r="F1582" s="22" t="str">
        <f>IF(ISERROR(VLOOKUP($A1582,#REF!,3,0)),"x",VLOOKUP($A1582,#REF!,3,FALSE))</f>
        <v>x</v>
      </c>
      <c r="G1582" s="9">
        <f t="shared" si="75"/>
        <v>1</v>
      </c>
      <c r="H1582" s="13">
        <f t="shared" si="76"/>
        <v>153.5</v>
      </c>
    </row>
    <row r="1583" spans="1:8" x14ac:dyDescent="0.25">
      <c r="A1583" s="2" t="str">
        <f>"PAS125-1-4NW07"</f>
        <v>PAS125-1-4NW07</v>
      </c>
      <c r="B1583" s="2" t="str">
        <f>"PAS Bodeneinbauleuchte,  LED4W 4000K 1Lichtaustritt Gehäuse E-stahl Abdeckg. Alu"</f>
        <v>PAS Bodeneinbauleuchte,  LED4W 4000K 1Lichtaustritt Gehäuse E-stahl Abdeckg. Alu</v>
      </c>
      <c r="C1583" s="16">
        <v>445.5</v>
      </c>
      <c r="D1583" s="11">
        <v>247</v>
      </c>
      <c r="E1583" s="7">
        <f t="shared" si="74"/>
        <v>1</v>
      </c>
      <c r="F1583" s="22" t="str">
        <f>IF(ISERROR(VLOOKUP($A1583,#REF!,3,0)),"x",VLOOKUP($A1583,#REF!,3,FALSE))</f>
        <v>x</v>
      </c>
      <c r="G1583" s="9">
        <f t="shared" si="75"/>
        <v>1</v>
      </c>
      <c r="H1583" s="13">
        <f t="shared" si="76"/>
        <v>445.5</v>
      </c>
    </row>
    <row r="1584" spans="1:8" x14ac:dyDescent="0.25">
      <c r="A1584" s="2" t="str">
        <f>"PAS125-1-4NW7"</f>
        <v>PAS125-1-4NW7</v>
      </c>
      <c r="B1584" s="2" t="str">
        <f>"PAS Bodeneinbauleuchte, LED4W 4000K, 1Lichtaustritt, mit Treiber, Alu metallgrau"</f>
        <v>PAS Bodeneinbauleuchte, LED4W 4000K, 1Lichtaustritt, mit Treiber, Alu metallgrau</v>
      </c>
      <c r="C1584" s="16">
        <v>328.25</v>
      </c>
      <c r="D1584" s="11">
        <v>247</v>
      </c>
      <c r="E1584" s="7">
        <f t="shared" si="74"/>
        <v>1</v>
      </c>
      <c r="F1584" s="22" t="str">
        <f>IF(ISERROR(VLOOKUP($A1584,#REF!,3,0)),"x",VLOOKUP($A1584,#REF!,3,FALSE))</f>
        <v>x</v>
      </c>
      <c r="G1584" s="9">
        <f t="shared" si="75"/>
        <v>1</v>
      </c>
      <c r="H1584" s="13">
        <f t="shared" si="76"/>
        <v>328.25</v>
      </c>
    </row>
    <row r="1585" spans="1:8" x14ac:dyDescent="0.25">
      <c r="A1585" s="2" t="str">
        <f>"PAS125-1-4WW07"</f>
        <v>PAS125-1-4WW07</v>
      </c>
      <c r="B1585" s="2" t="str">
        <f>"PAS Bodeneinbauleuchte, LED4W 3000K 1Lichtaustritt Gehäuse E-stahl Abdeckung Alu"</f>
        <v>PAS Bodeneinbauleuchte, LED4W 3000K 1Lichtaustritt Gehäuse E-stahl Abdeckung Alu</v>
      </c>
      <c r="C1585" s="16">
        <v>445.5</v>
      </c>
      <c r="D1585" s="11">
        <v>247</v>
      </c>
      <c r="E1585" s="7">
        <f t="shared" si="74"/>
        <v>1</v>
      </c>
      <c r="F1585" s="22" t="str">
        <f>IF(ISERROR(VLOOKUP($A1585,#REF!,3,0)),"x",VLOOKUP($A1585,#REF!,3,FALSE))</f>
        <v>x</v>
      </c>
      <c r="G1585" s="9">
        <f t="shared" si="75"/>
        <v>1</v>
      </c>
      <c r="H1585" s="13">
        <f t="shared" si="76"/>
        <v>445.5</v>
      </c>
    </row>
    <row r="1586" spans="1:8" x14ac:dyDescent="0.25">
      <c r="A1586" s="2" t="str">
        <f>"PAS125-1-4WW7"</f>
        <v>PAS125-1-4WW7</v>
      </c>
      <c r="B1586" s="2" t="str">
        <f>"PAS Bodeneinbauleuchte, LED4W 3000K, 1Lichtaustritt, mit Treiber, Alu metallgrau"</f>
        <v>PAS Bodeneinbauleuchte, LED4W 3000K, 1Lichtaustritt, mit Treiber, Alu metallgrau</v>
      </c>
      <c r="C1586" s="16">
        <v>328.25</v>
      </c>
      <c r="D1586" s="11">
        <v>247</v>
      </c>
      <c r="E1586" s="7">
        <f t="shared" si="74"/>
        <v>1</v>
      </c>
      <c r="F1586" s="22" t="str">
        <f>IF(ISERROR(VLOOKUP($A1586,#REF!,3,0)),"x",VLOOKUP($A1586,#REF!,3,FALSE))</f>
        <v>x</v>
      </c>
      <c r="G1586" s="9">
        <f t="shared" si="75"/>
        <v>1</v>
      </c>
      <c r="H1586" s="13">
        <f t="shared" si="76"/>
        <v>328.25</v>
      </c>
    </row>
    <row r="1587" spans="1:8" x14ac:dyDescent="0.25">
      <c r="A1587" s="2" t="str">
        <f>"PAS125-2-180-4NW07"</f>
        <v>PAS125-2-180-4NW07</v>
      </c>
      <c r="B1587" s="2" t="str">
        <f>"PAS Bodeneinbauleuchte, LED4W 2Lichtaustritt 180° Gehäuse Edelstahl Abdeckg Alu"</f>
        <v>PAS Bodeneinbauleuchte, LED4W 2Lichtaustritt 180° Gehäuse Edelstahl Abdeckg Alu</v>
      </c>
      <c r="C1587" s="16">
        <v>445.5</v>
      </c>
      <c r="D1587" s="11">
        <v>247</v>
      </c>
      <c r="E1587" s="7">
        <f t="shared" si="74"/>
        <v>1</v>
      </c>
      <c r="F1587" s="22" t="str">
        <f>IF(ISERROR(VLOOKUP($A1587,#REF!,3,0)),"x",VLOOKUP($A1587,#REF!,3,FALSE))</f>
        <v>x</v>
      </c>
      <c r="G1587" s="9">
        <f t="shared" si="75"/>
        <v>1</v>
      </c>
      <c r="H1587" s="13">
        <f t="shared" si="76"/>
        <v>445.5</v>
      </c>
    </row>
    <row r="1588" spans="1:8" x14ac:dyDescent="0.25">
      <c r="A1588" s="2" t="str">
        <f>"PAS125-2-180-4NW7"</f>
        <v>PAS125-2-180-4NW7</v>
      </c>
      <c r="B1588" s="2" t="str">
        <f>"PAS Bodeneinbauleuchte, LED 4W, 2Lichtaustritte 180°, mit Treiber, Alu metallgr"</f>
        <v>PAS Bodeneinbauleuchte, LED 4W, 2Lichtaustritte 180°, mit Treiber, Alu metallgr</v>
      </c>
      <c r="C1588" s="16">
        <v>328.25</v>
      </c>
      <c r="D1588" s="11">
        <v>247</v>
      </c>
      <c r="E1588" s="7">
        <f t="shared" si="74"/>
        <v>1</v>
      </c>
      <c r="F1588" s="22" t="str">
        <f>IF(ISERROR(VLOOKUP($A1588,#REF!,3,0)),"x",VLOOKUP($A1588,#REF!,3,FALSE))</f>
        <v>x</v>
      </c>
      <c r="G1588" s="9">
        <f t="shared" si="75"/>
        <v>1</v>
      </c>
      <c r="H1588" s="13">
        <f t="shared" si="76"/>
        <v>328.25</v>
      </c>
    </row>
    <row r="1589" spans="1:8" x14ac:dyDescent="0.25">
      <c r="A1589" s="2" t="str">
        <f>"PAS125-2-180-4WW07"</f>
        <v>PAS125-2-180-4WW07</v>
      </c>
      <c r="B1589" s="2" t="str">
        <f>"PAS Bodeneinbauleuchte, LED 4W 2Lichtaustritt 180° Gehäuse Edelstahl Abdeckg Alu"</f>
        <v>PAS Bodeneinbauleuchte, LED 4W 2Lichtaustritt 180° Gehäuse Edelstahl Abdeckg Alu</v>
      </c>
      <c r="C1589" s="16">
        <v>445.5</v>
      </c>
      <c r="D1589" s="11">
        <v>247</v>
      </c>
      <c r="E1589" s="7">
        <f t="shared" si="74"/>
        <v>1</v>
      </c>
      <c r="F1589" s="22" t="str">
        <f>IF(ISERROR(VLOOKUP($A1589,#REF!,3,0)),"x",VLOOKUP($A1589,#REF!,3,FALSE))</f>
        <v>x</v>
      </c>
      <c r="G1589" s="9">
        <f t="shared" si="75"/>
        <v>1</v>
      </c>
      <c r="H1589" s="13">
        <f t="shared" si="76"/>
        <v>445.5</v>
      </c>
    </row>
    <row r="1590" spans="1:8" x14ac:dyDescent="0.25">
      <c r="A1590" s="2" t="str">
        <f>"PAS125-2-180-4WW7"</f>
        <v>PAS125-2-180-4WW7</v>
      </c>
      <c r="B1590" s="2" t="str">
        <f>"PAS Bodeneinbauleuchte, LED 4W, 2Lichtaustritt 180°, mit Treiber, Alu metallgr"</f>
        <v>PAS Bodeneinbauleuchte, LED 4W, 2Lichtaustritt 180°, mit Treiber, Alu metallgr</v>
      </c>
      <c r="C1590" s="16">
        <v>328.25</v>
      </c>
      <c r="D1590" s="11">
        <v>247</v>
      </c>
      <c r="E1590" s="7">
        <f t="shared" si="74"/>
        <v>1</v>
      </c>
      <c r="F1590" s="22" t="str">
        <f>IF(ISERROR(VLOOKUP($A1590,#REF!,3,0)),"x",VLOOKUP($A1590,#REF!,3,FALSE))</f>
        <v>x</v>
      </c>
      <c r="G1590" s="9">
        <f t="shared" si="75"/>
        <v>1</v>
      </c>
      <c r="H1590" s="13">
        <f t="shared" si="76"/>
        <v>328.25</v>
      </c>
    </row>
    <row r="1591" spans="1:8" x14ac:dyDescent="0.25">
      <c r="A1591" s="2" t="str">
        <f>"PAS125-2-90-4NW07"</f>
        <v>PAS125-2-90-4NW07</v>
      </c>
      <c r="B1591" s="2" t="str">
        <f>"PAS Bodeneinbauleuchte, LED 4W 2Lichtaustritt 90° Gehäuse Edelstahl Abdeckg Alu"</f>
        <v>PAS Bodeneinbauleuchte, LED 4W 2Lichtaustritt 90° Gehäuse Edelstahl Abdeckg Alu</v>
      </c>
      <c r="C1591" s="16">
        <v>445.5</v>
      </c>
      <c r="D1591" s="11">
        <v>247</v>
      </c>
      <c r="E1591" s="7">
        <f t="shared" si="74"/>
        <v>1</v>
      </c>
      <c r="F1591" s="22" t="str">
        <f>IF(ISERROR(VLOOKUP($A1591,#REF!,3,0)),"x",VLOOKUP($A1591,#REF!,3,FALSE))</f>
        <v>x</v>
      </c>
      <c r="G1591" s="9">
        <f t="shared" si="75"/>
        <v>1</v>
      </c>
      <c r="H1591" s="13">
        <f t="shared" si="76"/>
        <v>445.5</v>
      </c>
    </row>
    <row r="1592" spans="1:8" x14ac:dyDescent="0.25">
      <c r="A1592" s="2" t="str">
        <f>"PAS125-2-90-4NW7"</f>
        <v>PAS125-2-90-4NW7</v>
      </c>
      <c r="B1592" s="2" t="str">
        <f>"PAS Bodeneinbauleuchte, LED 4W, 2Lichtaustritt 90°, mit Treiber, Alu metallgr"</f>
        <v>PAS Bodeneinbauleuchte, LED 4W, 2Lichtaustritt 90°, mit Treiber, Alu metallgr</v>
      </c>
      <c r="C1592" s="16">
        <v>328.25</v>
      </c>
      <c r="D1592" s="11">
        <v>247</v>
      </c>
      <c r="E1592" s="7">
        <f t="shared" si="74"/>
        <v>1</v>
      </c>
      <c r="F1592" s="22" t="str">
        <f>IF(ISERROR(VLOOKUP($A1592,#REF!,3,0)),"x",VLOOKUP($A1592,#REF!,3,FALSE))</f>
        <v>x</v>
      </c>
      <c r="G1592" s="9">
        <f t="shared" si="75"/>
        <v>1</v>
      </c>
      <c r="H1592" s="13">
        <f t="shared" si="76"/>
        <v>328.25</v>
      </c>
    </row>
    <row r="1593" spans="1:8" x14ac:dyDescent="0.25">
      <c r="A1593" s="2" t="str">
        <f>"PAS125-2-90-4WW07"</f>
        <v>PAS125-2-90-4WW07</v>
      </c>
      <c r="B1593" s="2" t="str">
        <f>"PAS Bodeneinbauleuchte, LED 4W 2Lichtaustritt 90° Gehäuse Edelstahl Abdeckg Alu"</f>
        <v>PAS Bodeneinbauleuchte, LED 4W 2Lichtaustritt 90° Gehäuse Edelstahl Abdeckg Alu</v>
      </c>
      <c r="C1593" s="16">
        <v>445.5</v>
      </c>
      <c r="D1593" s="11">
        <v>247</v>
      </c>
      <c r="E1593" s="7">
        <f t="shared" si="74"/>
        <v>1</v>
      </c>
      <c r="F1593" s="22" t="str">
        <f>IF(ISERROR(VLOOKUP($A1593,#REF!,3,0)),"x",VLOOKUP($A1593,#REF!,3,FALSE))</f>
        <v>x</v>
      </c>
      <c r="G1593" s="9">
        <f t="shared" si="75"/>
        <v>1</v>
      </c>
      <c r="H1593" s="13">
        <f t="shared" si="76"/>
        <v>445.5</v>
      </c>
    </row>
    <row r="1594" spans="1:8" x14ac:dyDescent="0.25">
      <c r="A1594" s="2" t="str">
        <f>"PAS125-2-90-4WW7"</f>
        <v>PAS125-2-90-4WW7</v>
      </c>
      <c r="B1594" s="2" t="str">
        <f>"PAS Bodeneinbauleuchte, LED 4W, 2Lichtaustritt 90°, mit Treiber, Alu metallgr"</f>
        <v>PAS Bodeneinbauleuchte, LED 4W, 2Lichtaustritt 90°, mit Treiber, Alu metallgr</v>
      </c>
      <c r="C1594" s="16">
        <v>328.25</v>
      </c>
      <c r="D1594" s="11">
        <v>247</v>
      </c>
      <c r="E1594" s="7">
        <f t="shared" si="74"/>
        <v>1</v>
      </c>
      <c r="F1594" s="22" t="str">
        <f>IF(ISERROR(VLOOKUP($A1594,#REF!,3,0)),"x",VLOOKUP($A1594,#REF!,3,FALSE))</f>
        <v>x</v>
      </c>
      <c r="G1594" s="9">
        <f t="shared" si="75"/>
        <v>1</v>
      </c>
      <c r="H1594" s="13">
        <f t="shared" si="76"/>
        <v>328.25</v>
      </c>
    </row>
    <row r="1595" spans="1:8" x14ac:dyDescent="0.25">
      <c r="A1595" s="2" t="str">
        <f>"PAS180-8NW07"</f>
        <v>PAS180-8NW07</v>
      </c>
      <c r="B1595" s="2" t="str">
        <f>"PAS Bodeneinbauleuchte, schwenkbar 0-45°, LED 7,5W, 4000K, Edelstahlgehäuse"</f>
        <v>PAS Bodeneinbauleuchte, schwenkbar 0-45°, LED 7,5W, 4000K, Edelstahlgehäuse</v>
      </c>
      <c r="C1595" s="16">
        <v>575</v>
      </c>
      <c r="D1595" s="11">
        <v>249</v>
      </c>
      <c r="E1595" s="7">
        <f t="shared" si="74"/>
        <v>1</v>
      </c>
      <c r="F1595" s="22" t="str">
        <f>IF(ISERROR(VLOOKUP($A1595,#REF!,3,0)),"x",VLOOKUP($A1595,#REF!,3,FALSE))</f>
        <v>x</v>
      </c>
      <c r="G1595" s="9">
        <f t="shared" si="75"/>
        <v>1</v>
      </c>
      <c r="H1595" s="13">
        <f t="shared" si="76"/>
        <v>575</v>
      </c>
    </row>
    <row r="1596" spans="1:8" x14ac:dyDescent="0.25">
      <c r="A1596" s="2" t="str">
        <f>"PAS180-8NW7"</f>
        <v>PAS180-8NW7</v>
      </c>
      <c r="B1596" s="2" t="str">
        <f>"PAS Bodeneinbauleuchte, schwenkbar 0-45°, LED 7,5W, 4000K"</f>
        <v>PAS Bodeneinbauleuchte, schwenkbar 0-45°, LED 7,5W, 4000K</v>
      </c>
      <c r="C1596" s="16">
        <v>455</v>
      </c>
      <c r="D1596" s="11">
        <v>249</v>
      </c>
      <c r="E1596" s="7">
        <f t="shared" si="74"/>
        <v>1</v>
      </c>
      <c r="F1596" s="22" t="str">
        <f>IF(ISERROR(VLOOKUP($A1596,#REF!,3,0)),"x",VLOOKUP($A1596,#REF!,3,FALSE))</f>
        <v>x</v>
      </c>
      <c r="G1596" s="9">
        <f t="shared" si="75"/>
        <v>1</v>
      </c>
      <c r="H1596" s="13">
        <f t="shared" si="76"/>
        <v>455</v>
      </c>
    </row>
    <row r="1597" spans="1:8" x14ac:dyDescent="0.25">
      <c r="A1597" s="2" t="str">
        <f>"PAS180-8WW07"</f>
        <v>PAS180-8WW07</v>
      </c>
      <c r="B1597" s="2" t="str">
        <f>"PAS Bodeneinbauleuchte, schwenkbar 0-45°, LED 7,5W, 3000K, Edelstahlgehäuse"</f>
        <v>PAS Bodeneinbauleuchte, schwenkbar 0-45°, LED 7,5W, 3000K, Edelstahlgehäuse</v>
      </c>
      <c r="C1597" s="16">
        <v>575</v>
      </c>
      <c r="D1597" s="11">
        <v>249</v>
      </c>
      <c r="E1597" s="7">
        <f t="shared" si="74"/>
        <v>1</v>
      </c>
      <c r="F1597" s="22" t="str">
        <f>IF(ISERROR(VLOOKUP($A1597,#REF!,3,0)),"x",VLOOKUP($A1597,#REF!,3,FALSE))</f>
        <v>x</v>
      </c>
      <c r="G1597" s="9">
        <f t="shared" si="75"/>
        <v>1</v>
      </c>
      <c r="H1597" s="13">
        <f t="shared" si="76"/>
        <v>575</v>
      </c>
    </row>
    <row r="1598" spans="1:8" x14ac:dyDescent="0.25">
      <c r="A1598" s="2" t="str">
        <f>"PAS180-8WW7"</f>
        <v>PAS180-8WW7</v>
      </c>
      <c r="B1598" s="2" t="str">
        <f>"PAS Bodeneinbauleuchte, schwenkbar 0-45°, LED 7,5W, 3000K"</f>
        <v>PAS Bodeneinbauleuchte, schwenkbar 0-45°, LED 7,5W, 3000K</v>
      </c>
      <c r="C1598" s="16">
        <v>455</v>
      </c>
      <c r="D1598" s="11">
        <v>249</v>
      </c>
      <c r="E1598" s="7">
        <f t="shared" si="74"/>
        <v>1</v>
      </c>
      <c r="F1598" s="22" t="str">
        <f>IF(ISERROR(VLOOKUP($A1598,#REF!,3,0)),"x",VLOOKUP($A1598,#REF!,3,FALSE))</f>
        <v>x</v>
      </c>
      <c r="G1598" s="9">
        <f t="shared" si="75"/>
        <v>1</v>
      </c>
      <c r="H1598" s="13">
        <f t="shared" si="76"/>
        <v>455</v>
      </c>
    </row>
    <row r="1599" spans="1:8" x14ac:dyDescent="0.25">
      <c r="A1599" s="2" t="str">
        <f>"PAS70-1-3NW0"</f>
        <v>PAS70-1-3NW0</v>
      </c>
      <c r="B1599" s="2" t="str">
        <f>"PAS Bodeneinbauleuchte, LED 4W 4000K, 1Lichtaustritt, kpl. aus Edelstahl"</f>
        <v>PAS Bodeneinbauleuchte, LED 4W 4000K, 1Lichtaustritt, kpl. aus Edelstahl</v>
      </c>
      <c r="C1599" s="16">
        <v>412.25</v>
      </c>
      <c r="D1599" s="11">
        <v>247</v>
      </c>
      <c r="E1599" s="7">
        <f t="shared" si="74"/>
        <v>1</v>
      </c>
      <c r="F1599" s="22" t="str">
        <f>IF(ISERROR(VLOOKUP($A1599,#REF!,3,0)),"x",VLOOKUP($A1599,#REF!,3,FALSE))</f>
        <v>x</v>
      </c>
      <c r="G1599" s="9">
        <f t="shared" si="75"/>
        <v>1</v>
      </c>
      <c r="H1599" s="13">
        <f t="shared" si="76"/>
        <v>412.25</v>
      </c>
    </row>
    <row r="1600" spans="1:8" x14ac:dyDescent="0.25">
      <c r="A1600" s="2" t="str">
        <f>"PAS70-1-3NW7"</f>
        <v>PAS70-1-3NW7</v>
      </c>
      <c r="B1600" s="2" t="str">
        <f>"PAS Bodeneinbauleuchte, LED 4W 4000K, 1Lichtaustritt, m. Treiber, Alu metallgrau"</f>
        <v>PAS Bodeneinbauleuchte, LED 4W 4000K, 1Lichtaustritt, m. Treiber, Alu metallgrau</v>
      </c>
      <c r="C1600" s="16">
        <v>287.75</v>
      </c>
      <c r="D1600" s="11">
        <v>247</v>
      </c>
      <c r="E1600" s="7">
        <f t="shared" si="74"/>
        <v>1</v>
      </c>
      <c r="F1600" s="22" t="str">
        <f>IF(ISERROR(VLOOKUP($A1600,#REF!,3,0)),"x",VLOOKUP($A1600,#REF!,3,FALSE))</f>
        <v>x</v>
      </c>
      <c r="G1600" s="9">
        <f t="shared" si="75"/>
        <v>1</v>
      </c>
      <c r="H1600" s="13">
        <f t="shared" si="76"/>
        <v>287.75</v>
      </c>
    </row>
    <row r="1601" spans="1:8" x14ac:dyDescent="0.25">
      <c r="A1601" s="2" t="str">
        <f>"PAS70-1-3WW0"</f>
        <v>PAS70-1-3WW0</v>
      </c>
      <c r="B1601" s="2" t="str">
        <f>"PAS Bodeneinbauleuchte, LED 4W 3000K, 1Lichtaustritt, kpl. aus Edelstahl"</f>
        <v>PAS Bodeneinbauleuchte, LED 4W 3000K, 1Lichtaustritt, kpl. aus Edelstahl</v>
      </c>
      <c r="C1601" s="16">
        <v>412.25</v>
      </c>
      <c r="D1601" s="11">
        <v>247</v>
      </c>
      <c r="E1601" s="7">
        <f t="shared" si="74"/>
        <v>1</v>
      </c>
      <c r="F1601" s="22" t="str">
        <f>IF(ISERROR(VLOOKUP($A1601,#REF!,3,0)),"x",VLOOKUP($A1601,#REF!,3,FALSE))</f>
        <v>x</v>
      </c>
      <c r="G1601" s="9">
        <f t="shared" si="75"/>
        <v>1</v>
      </c>
      <c r="H1601" s="13">
        <f t="shared" si="76"/>
        <v>412.25</v>
      </c>
    </row>
    <row r="1602" spans="1:8" x14ac:dyDescent="0.25">
      <c r="A1602" s="2" t="str">
        <f>"PAS70-1-3WW7"</f>
        <v>PAS70-1-3WW7</v>
      </c>
      <c r="B1602" s="2" t="str">
        <f>"PAS Bodeneinbauleuchte, LED 4W 3000K, 1Lichtaustritt, m. Treiber, Alu metallgrau"</f>
        <v>PAS Bodeneinbauleuchte, LED 4W 3000K, 1Lichtaustritt, m. Treiber, Alu metallgrau</v>
      </c>
      <c r="C1602" s="16">
        <v>287.75</v>
      </c>
      <c r="D1602" s="11">
        <v>247</v>
      </c>
      <c r="E1602" s="7">
        <f t="shared" si="74"/>
        <v>1</v>
      </c>
      <c r="F1602" s="22" t="str">
        <f>IF(ISERROR(VLOOKUP($A1602,#REF!,3,0)),"x",VLOOKUP($A1602,#REF!,3,FALSE))</f>
        <v>x</v>
      </c>
      <c r="G1602" s="9">
        <f t="shared" si="75"/>
        <v>1</v>
      </c>
      <c r="H1602" s="13">
        <f t="shared" si="76"/>
        <v>287.75</v>
      </c>
    </row>
    <row r="1603" spans="1:8" x14ac:dyDescent="0.25">
      <c r="A1603" s="2" t="str">
        <f>"PAS70-2-180-3NW7"</f>
        <v>PAS70-2-180-3NW7</v>
      </c>
      <c r="B1603" s="2" t="str">
        <f>"PAS Bodeneinbauleuchte, LED 4W 4000K 2 Lichtaustritte, m.Treiber, Alu metallgrau"</f>
        <v>PAS Bodeneinbauleuchte, LED 4W 4000K 2 Lichtaustritte, m.Treiber, Alu metallgrau</v>
      </c>
      <c r="C1603" s="16">
        <v>287.75</v>
      </c>
      <c r="D1603" s="11">
        <v>247</v>
      </c>
      <c r="E1603" s="7">
        <f t="shared" ref="E1603:E1666" si="77">G1603</f>
        <v>1</v>
      </c>
      <c r="F1603" s="22" t="str">
        <f>IF(ISERROR(VLOOKUP($A1603,#REF!,3,0)),"x",VLOOKUP($A1603,#REF!,3,FALSE))</f>
        <v>x</v>
      </c>
      <c r="G1603" s="9">
        <f t="shared" ref="G1603:G1666" si="78">IF(C1603&lt;F1603,1,IF(C1603&gt;F1603,-1,0))</f>
        <v>1</v>
      </c>
      <c r="H1603" s="13">
        <f t="shared" si="76"/>
        <v>287.75</v>
      </c>
    </row>
    <row r="1604" spans="1:8" x14ac:dyDescent="0.25">
      <c r="A1604" s="2" t="str">
        <f>"PAS70-2-180-3WW7"</f>
        <v>PAS70-2-180-3WW7</v>
      </c>
      <c r="B1604" s="2" t="str">
        <f>"PAS Bodeneinbauleuchte, LED 4W 3000K, 2 Lichtaustritte, m. Treiber, Alu Alugrau"</f>
        <v>PAS Bodeneinbauleuchte, LED 4W 3000K, 2 Lichtaustritte, m. Treiber, Alu Alugrau</v>
      </c>
      <c r="C1604" s="16">
        <v>287.75</v>
      </c>
      <c r="D1604" s="11">
        <v>247</v>
      </c>
      <c r="E1604" s="7">
        <f t="shared" si="77"/>
        <v>1</v>
      </c>
      <c r="F1604" s="22" t="str">
        <f>IF(ISERROR(VLOOKUP($A1604,#REF!,3,0)),"x",VLOOKUP($A1604,#REF!,3,FALSE))</f>
        <v>x</v>
      </c>
      <c r="G1604" s="9">
        <f t="shared" si="78"/>
        <v>1</v>
      </c>
      <c r="H1604" s="13">
        <f t="shared" si="76"/>
        <v>287.75</v>
      </c>
    </row>
    <row r="1605" spans="1:8" x14ac:dyDescent="0.25">
      <c r="A1605" s="2" t="str">
        <f>"PAS70-2-90-3NW0"</f>
        <v>PAS70-2-90-3NW0</v>
      </c>
      <c r="B1605" s="2" t="str">
        <f>"PAS Bodeneinbauleuchte, LED 4W 4000K, 2 Lichtaustritte, kpl. aus Edelstahl"</f>
        <v>PAS Bodeneinbauleuchte, LED 4W 4000K, 2 Lichtaustritte, kpl. aus Edelstahl</v>
      </c>
      <c r="C1605" s="16">
        <v>412.25</v>
      </c>
      <c r="D1605" s="11">
        <v>247</v>
      </c>
      <c r="E1605" s="7">
        <f t="shared" si="77"/>
        <v>1</v>
      </c>
      <c r="F1605" s="22" t="str">
        <f>IF(ISERROR(VLOOKUP($A1605,#REF!,3,0)),"x",VLOOKUP($A1605,#REF!,3,FALSE))</f>
        <v>x</v>
      </c>
      <c r="G1605" s="9">
        <f t="shared" si="78"/>
        <v>1</v>
      </c>
      <c r="H1605" s="13">
        <f t="shared" ref="H1605:H1668" si="79">IF(F1605="x",C1605,F1605)</f>
        <v>412.25</v>
      </c>
    </row>
    <row r="1606" spans="1:8" x14ac:dyDescent="0.25">
      <c r="A1606" s="2" t="str">
        <f>"PAS70-2-90-3NW7"</f>
        <v>PAS70-2-90-3NW7</v>
      </c>
      <c r="B1606" s="2" t="str">
        <f>"PAS Bodeneinbauleuchte, LED4W 4000K, 2 Lichtaustritte, mit Treiber, Alu metallgr"</f>
        <v>PAS Bodeneinbauleuchte, LED4W 4000K, 2 Lichtaustritte, mit Treiber, Alu metallgr</v>
      </c>
      <c r="C1606" s="16">
        <v>287.75</v>
      </c>
      <c r="D1606" s="11">
        <v>247</v>
      </c>
      <c r="E1606" s="7">
        <f t="shared" si="77"/>
        <v>1</v>
      </c>
      <c r="F1606" s="22" t="str">
        <f>IF(ISERROR(VLOOKUP($A1606,#REF!,3,0)),"x",VLOOKUP($A1606,#REF!,3,FALSE))</f>
        <v>x</v>
      </c>
      <c r="G1606" s="9">
        <f t="shared" si="78"/>
        <v>1</v>
      </c>
      <c r="H1606" s="13">
        <f t="shared" si="79"/>
        <v>287.75</v>
      </c>
    </row>
    <row r="1607" spans="1:8" x14ac:dyDescent="0.25">
      <c r="A1607" s="2" t="str">
        <f>"PAS70-2-90-3WW0"</f>
        <v>PAS70-2-90-3WW0</v>
      </c>
      <c r="B1607" s="2" t="str">
        <f>"PAS Bodeneinbauleuchte, LED 4W 3000K, 2 Lichtaustritte, kpl. aus Edelstahl"</f>
        <v>PAS Bodeneinbauleuchte, LED 4W 3000K, 2 Lichtaustritte, kpl. aus Edelstahl</v>
      </c>
      <c r="C1607" s="16">
        <v>411.75</v>
      </c>
      <c r="D1607" s="11">
        <v>247</v>
      </c>
      <c r="E1607" s="7">
        <f t="shared" si="77"/>
        <v>1</v>
      </c>
      <c r="F1607" s="22" t="str">
        <f>IF(ISERROR(VLOOKUP($A1607,#REF!,3,0)),"x",VLOOKUP($A1607,#REF!,3,FALSE))</f>
        <v>x</v>
      </c>
      <c r="G1607" s="9">
        <f t="shared" si="78"/>
        <v>1</v>
      </c>
      <c r="H1607" s="13">
        <f t="shared" si="79"/>
        <v>411.75</v>
      </c>
    </row>
    <row r="1608" spans="1:8" x14ac:dyDescent="0.25">
      <c r="A1608" s="2" t="str">
        <f>"PAS70-2-90-3WW7"</f>
        <v>PAS70-2-90-3WW7</v>
      </c>
      <c r="B1608" s="2" t="str">
        <f>"PAS Bodeneinbauleuchte, LED 4W 3000K, 2 Lichtaustritte, mit Treiber, metallgrau"</f>
        <v>PAS Bodeneinbauleuchte, LED 4W 3000K, 2 Lichtaustritte, mit Treiber, metallgrau</v>
      </c>
      <c r="C1608" s="16">
        <v>287.75</v>
      </c>
      <c r="D1608" s="11">
        <v>247</v>
      </c>
      <c r="E1608" s="7">
        <f t="shared" si="77"/>
        <v>1</v>
      </c>
      <c r="F1608" s="22" t="str">
        <f>IF(ISERROR(VLOOKUP($A1608,#REF!,3,0)),"x",VLOOKUP($A1608,#REF!,3,FALSE))</f>
        <v>x</v>
      </c>
      <c r="G1608" s="9">
        <f t="shared" si="78"/>
        <v>1</v>
      </c>
      <c r="H1608" s="13">
        <f t="shared" si="79"/>
        <v>287.75</v>
      </c>
    </row>
    <row r="1609" spans="1:8" x14ac:dyDescent="0.25">
      <c r="A1609" s="2" t="str">
        <f>"PASUP125-4NW7-0"</f>
        <v>PASUP125-4NW7-0</v>
      </c>
      <c r="B1609" s="2" t="str">
        <f>"PAS UP Bodeneinbauleuchte, LED4W, 4000K, Ø125mm, Gehäu. Edelstahl, Abdeckung Alu"</f>
        <v>PAS UP Bodeneinbauleuchte, LED4W, 4000K, Ø125mm, Gehäu. Edelstahl, Abdeckung Alu</v>
      </c>
      <c r="C1609" s="16">
        <v>479.5</v>
      </c>
      <c r="D1609" s="11">
        <v>240</v>
      </c>
      <c r="E1609" s="7">
        <f t="shared" si="77"/>
        <v>1</v>
      </c>
      <c r="F1609" s="22" t="str">
        <f>IF(ISERROR(VLOOKUP($A1609,#REF!,3,0)),"x",VLOOKUP($A1609,#REF!,3,FALSE))</f>
        <v>x</v>
      </c>
      <c r="G1609" s="9">
        <f t="shared" si="78"/>
        <v>1</v>
      </c>
      <c r="H1609" s="13">
        <f t="shared" si="79"/>
        <v>479.5</v>
      </c>
    </row>
    <row r="1610" spans="1:8" x14ac:dyDescent="0.25">
      <c r="A1610" s="2" t="str">
        <f>"PASUP125-4WW7-0"</f>
        <v>PASUP125-4WW7-0</v>
      </c>
      <c r="B1610" s="2" t="str">
        <f>"PAS UP Bodeneinbauleuchte, LED4W, 3000K, Ø125mm, Gehäu. Edelstahl, Abdeckung Alu"</f>
        <v>PAS UP Bodeneinbauleuchte, LED4W, 3000K, Ø125mm, Gehäu. Edelstahl, Abdeckung Alu</v>
      </c>
      <c r="C1610" s="16">
        <v>479.5</v>
      </c>
      <c r="D1610" s="11">
        <v>240</v>
      </c>
      <c r="E1610" s="7">
        <f t="shared" si="77"/>
        <v>1</v>
      </c>
      <c r="F1610" s="22" t="str">
        <f>IF(ISERROR(VLOOKUP($A1610,#REF!,3,0)),"x",VLOOKUP($A1610,#REF!,3,FALSE))</f>
        <v>x</v>
      </c>
      <c r="G1610" s="9">
        <f t="shared" si="78"/>
        <v>1</v>
      </c>
      <c r="H1610" s="13">
        <f t="shared" si="79"/>
        <v>479.5</v>
      </c>
    </row>
    <row r="1611" spans="1:8" x14ac:dyDescent="0.25">
      <c r="A1611" s="2" t="str">
        <f>"PASUP125-6NW7"</f>
        <v>PASUP125-6NW7</v>
      </c>
      <c r="B1611" s="2" t="str">
        <f>"PAS UP Bodeneinbauleuchte, LED 6,5W, 4000K, Ø125mm, mit Treiber, Alu, metallgrau"</f>
        <v>PAS UP Bodeneinbauleuchte, LED 6,5W, 4000K, Ø125mm, mit Treiber, Alu, metallgrau</v>
      </c>
      <c r="C1611" s="16">
        <v>351.75</v>
      </c>
      <c r="D1611" s="11">
        <v>240</v>
      </c>
      <c r="E1611" s="7">
        <f t="shared" si="77"/>
        <v>1</v>
      </c>
      <c r="F1611" s="22" t="str">
        <f>IF(ISERROR(VLOOKUP($A1611,#REF!,3,0)),"x",VLOOKUP($A1611,#REF!,3,FALSE))</f>
        <v>x</v>
      </c>
      <c r="G1611" s="9">
        <f t="shared" si="78"/>
        <v>1</v>
      </c>
      <c r="H1611" s="13">
        <f t="shared" si="79"/>
        <v>351.75</v>
      </c>
    </row>
    <row r="1612" spans="1:8" x14ac:dyDescent="0.25">
      <c r="A1612" s="2" t="str">
        <f>"PASUP125-6WW7"</f>
        <v>PASUP125-6WW7</v>
      </c>
      <c r="B1612" s="2" t="str">
        <f>"PAS UP Bodeneinbauleuchte, LED 6,5W, 3000K, Ø125mm, mit Treiber, Alu, metallgrau"</f>
        <v>PAS UP Bodeneinbauleuchte, LED 6,5W, 3000K, Ø125mm, mit Treiber, Alu, metallgrau</v>
      </c>
      <c r="C1612" s="16">
        <v>351.75</v>
      </c>
      <c r="D1612" s="11">
        <v>240</v>
      </c>
      <c r="E1612" s="7">
        <f t="shared" si="77"/>
        <v>1</v>
      </c>
      <c r="F1612" s="22" t="str">
        <f>IF(ISERROR(VLOOKUP($A1612,#REF!,3,0)),"x",VLOOKUP($A1612,#REF!,3,FALSE))</f>
        <v>x</v>
      </c>
      <c r="G1612" s="9">
        <f t="shared" si="78"/>
        <v>1</v>
      </c>
      <c r="H1612" s="13">
        <f t="shared" si="79"/>
        <v>351.75</v>
      </c>
    </row>
    <row r="1613" spans="1:8" x14ac:dyDescent="0.25">
      <c r="A1613" s="2" t="str">
        <f>"PASUP125-GU10-7"</f>
        <v>PASUP125-GU10-7</v>
      </c>
      <c r="B1613" s="2" t="str">
        <f>"PAS UP Bodeneinbauleuchte, GU10, Ø125mm, Abdeckung Alu"</f>
        <v>PAS UP Bodeneinbauleuchte, GU10, Ø125mm, Abdeckung Alu</v>
      </c>
      <c r="C1613" s="16">
        <v>287.5</v>
      </c>
      <c r="D1613" s="11">
        <v>240</v>
      </c>
      <c r="E1613" s="7">
        <f t="shared" si="77"/>
        <v>1</v>
      </c>
      <c r="F1613" s="22" t="str">
        <f>IF(ISERROR(VLOOKUP($A1613,#REF!,3,0)),"x",VLOOKUP($A1613,#REF!,3,FALSE))</f>
        <v>x</v>
      </c>
      <c r="G1613" s="9">
        <f t="shared" si="78"/>
        <v>1</v>
      </c>
      <c r="H1613" s="13">
        <f t="shared" si="79"/>
        <v>287.5</v>
      </c>
    </row>
    <row r="1614" spans="1:8" x14ac:dyDescent="0.25">
      <c r="A1614" s="2" t="str">
        <f>"PASUP125-GU10-7-0"</f>
        <v>PASUP125-GU10-7-0</v>
      </c>
      <c r="B1614" s="2" t="str">
        <f>"PAS UP Bodeneinbauleuchte, GU10, Ø125mm, Gehäuse Edelstahl, Abdeckung Alu"</f>
        <v>PAS UP Bodeneinbauleuchte, GU10, Ø125mm, Gehäuse Edelstahl, Abdeckung Alu</v>
      </c>
      <c r="C1614" s="16">
        <v>406.5</v>
      </c>
      <c r="D1614" s="11">
        <v>240</v>
      </c>
      <c r="E1614" s="7">
        <f t="shared" si="77"/>
        <v>1</v>
      </c>
      <c r="F1614" s="22" t="str">
        <f>IF(ISERROR(VLOOKUP($A1614,#REF!,3,0)),"x",VLOOKUP($A1614,#REF!,3,FALSE))</f>
        <v>x</v>
      </c>
      <c r="G1614" s="9">
        <f t="shared" si="78"/>
        <v>1</v>
      </c>
      <c r="H1614" s="13">
        <f t="shared" si="79"/>
        <v>406.5</v>
      </c>
    </row>
    <row r="1615" spans="1:8" x14ac:dyDescent="0.25">
      <c r="A1615" s="2" t="str">
        <f>"PASUP125A-4NW-0"</f>
        <v>PASUP125A-4NW-0</v>
      </c>
      <c r="B1615" s="2" t="str">
        <f>"PAS UP Bodeneinbauleuchte, LED 4W, 4000K, 125x125mm, kpl. aus Edelstah"</f>
        <v>PAS UP Bodeneinbauleuchte, LED 4W, 4000K, 125x125mm, kpl. aus Edelstah</v>
      </c>
      <c r="C1615" s="16">
        <v>544.5</v>
      </c>
      <c r="D1615" s="11">
        <v>240</v>
      </c>
      <c r="E1615" s="7">
        <f t="shared" si="77"/>
        <v>1</v>
      </c>
      <c r="F1615" s="22" t="str">
        <f>IF(ISERROR(VLOOKUP($A1615,#REF!,3,0)),"x",VLOOKUP($A1615,#REF!,3,FALSE))</f>
        <v>x</v>
      </c>
      <c r="G1615" s="9">
        <f t="shared" si="78"/>
        <v>1</v>
      </c>
      <c r="H1615" s="13">
        <f t="shared" si="79"/>
        <v>544.5</v>
      </c>
    </row>
    <row r="1616" spans="1:8" x14ac:dyDescent="0.25">
      <c r="A1616" s="2" t="str">
        <f>"PASUP125A-4WW-0"</f>
        <v>PASUP125A-4WW-0</v>
      </c>
      <c r="B1616" s="2" t="str">
        <f>"PAS UP Bodeneinbauleuchte, LED 4W, 3000K, 125x125mm, kpl. aus Edelstah"</f>
        <v>PAS UP Bodeneinbauleuchte, LED 4W, 3000K, 125x125mm, kpl. aus Edelstah</v>
      </c>
      <c r="C1616" s="16">
        <v>544.5</v>
      </c>
      <c r="D1616" s="11">
        <v>240</v>
      </c>
      <c r="E1616" s="7">
        <f t="shared" si="77"/>
        <v>1</v>
      </c>
      <c r="F1616" s="22" t="str">
        <f>IF(ISERROR(VLOOKUP($A1616,#REF!,3,0)),"x",VLOOKUP($A1616,#REF!,3,FALSE))</f>
        <v>x</v>
      </c>
      <c r="G1616" s="9">
        <f t="shared" si="78"/>
        <v>1</v>
      </c>
      <c r="H1616" s="13">
        <f t="shared" si="79"/>
        <v>544.5</v>
      </c>
    </row>
    <row r="1617" spans="1:8" x14ac:dyDescent="0.25">
      <c r="A1617" s="2" t="str">
        <f>"PASUP125A-6NW"</f>
        <v>PASUP125A-6NW</v>
      </c>
      <c r="B1617" s="2" t="str">
        <f>"PAS UP Bodeneinbauleuchte, LED 6,5W, 4000K, 125x125mm, mit Treiber, Edelstahl"</f>
        <v>PAS UP Bodeneinbauleuchte, LED 6,5W, 4000K, 125x125mm, mit Treiber, Edelstahl</v>
      </c>
      <c r="C1617" s="16">
        <v>417</v>
      </c>
      <c r="D1617" s="11">
        <v>240</v>
      </c>
      <c r="E1617" s="7">
        <f t="shared" si="77"/>
        <v>1</v>
      </c>
      <c r="F1617" s="22" t="str">
        <f>IF(ISERROR(VLOOKUP($A1617,#REF!,3,0)),"x",VLOOKUP($A1617,#REF!,3,FALSE))</f>
        <v>x</v>
      </c>
      <c r="G1617" s="9">
        <f t="shared" si="78"/>
        <v>1</v>
      </c>
      <c r="H1617" s="13">
        <f t="shared" si="79"/>
        <v>417</v>
      </c>
    </row>
    <row r="1618" spans="1:8" x14ac:dyDescent="0.25">
      <c r="A1618" s="2" t="str">
        <f>"PASUP125A-6WW"</f>
        <v>PASUP125A-6WW</v>
      </c>
      <c r="B1618" s="2" t="str">
        <f>"PAS UP Bodeneinbauleuchte, LED 6,5W, 3000K, 125x125mm, mit Treiber, Edelstahl"</f>
        <v>PAS UP Bodeneinbauleuchte, LED 6,5W, 3000K, 125x125mm, mit Treiber, Edelstahl</v>
      </c>
      <c r="C1618" s="16">
        <v>417</v>
      </c>
      <c r="D1618" s="11">
        <v>240</v>
      </c>
      <c r="E1618" s="7">
        <f t="shared" si="77"/>
        <v>1</v>
      </c>
      <c r="F1618" s="22" t="str">
        <f>IF(ISERROR(VLOOKUP($A1618,#REF!,3,0)),"x",VLOOKUP($A1618,#REF!,3,FALSE))</f>
        <v>x</v>
      </c>
      <c r="G1618" s="9">
        <f t="shared" si="78"/>
        <v>1</v>
      </c>
      <c r="H1618" s="13">
        <f t="shared" si="79"/>
        <v>417</v>
      </c>
    </row>
    <row r="1619" spans="1:8" x14ac:dyDescent="0.25">
      <c r="A1619" s="2" t="str">
        <f>"PASUP125A-GU10"</f>
        <v>PASUP125A-GU10</v>
      </c>
      <c r="B1619" s="2" t="str">
        <f>"PAS UP Bodeneinbauleuchte, GU10, 125x125mm, Abdeckung Edelstahl"</f>
        <v>PAS UP Bodeneinbauleuchte, GU10, 125x125mm, Abdeckung Edelstahl</v>
      </c>
      <c r="C1619" s="16">
        <v>351.75</v>
      </c>
      <c r="D1619" s="11">
        <v>240</v>
      </c>
      <c r="E1619" s="7">
        <f t="shared" si="77"/>
        <v>1</v>
      </c>
      <c r="F1619" s="22" t="str">
        <f>IF(ISERROR(VLOOKUP($A1619,#REF!,3,0)),"x",VLOOKUP($A1619,#REF!,3,FALSE))</f>
        <v>x</v>
      </c>
      <c r="G1619" s="9">
        <f t="shared" si="78"/>
        <v>1</v>
      </c>
      <c r="H1619" s="13">
        <f t="shared" si="79"/>
        <v>351.75</v>
      </c>
    </row>
    <row r="1620" spans="1:8" x14ac:dyDescent="0.25">
      <c r="A1620" s="2" t="str">
        <f>"PASUP125A-GU10-0"</f>
        <v>PASUP125A-GU10-0</v>
      </c>
      <c r="B1620" s="2" t="str">
        <f>"PAS UP Bodeneinbauleuchte, GU10, 125x125mm, komplett Edelstahl"</f>
        <v>PAS UP Bodeneinbauleuchte, GU10, 125x125mm, komplett Edelstahl</v>
      </c>
      <c r="C1620" s="16">
        <v>471.75</v>
      </c>
      <c r="D1620" s="11">
        <v>240</v>
      </c>
      <c r="E1620" s="7">
        <f t="shared" si="77"/>
        <v>1</v>
      </c>
      <c r="F1620" s="22" t="str">
        <f>IF(ISERROR(VLOOKUP($A1620,#REF!,3,0)),"x",VLOOKUP($A1620,#REF!,3,FALSE))</f>
        <v>x</v>
      </c>
      <c r="G1620" s="9">
        <f t="shared" si="78"/>
        <v>1</v>
      </c>
      <c r="H1620" s="13">
        <f t="shared" si="79"/>
        <v>471.75</v>
      </c>
    </row>
    <row r="1621" spans="1:8" x14ac:dyDescent="0.25">
      <c r="A1621" s="2" t="str">
        <f>"PASUP125R-4NW-0"</f>
        <v>PASUP125R-4NW-0</v>
      </c>
      <c r="B1621" s="2" t="str">
        <f>"PAS UP Bodeneinbauleuchte, LED 4W, 4000K, Ø125 mm, kpl. aus Edelstahl"</f>
        <v>PAS UP Bodeneinbauleuchte, LED 4W, 4000K, Ø125 mm, kpl. aus Edelstahl</v>
      </c>
      <c r="C1621" s="16">
        <v>529</v>
      </c>
      <c r="D1621" s="11">
        <v>240</v>
      </c>
      <c r="E1621" s="7">
        <f t="shared" si="77"/>
        <v>1</v>
      </c>
      <c r="F1621" s="22" t="str">
        <f>IF(ISERROR(VLOOKUP($A1621,#REF!,3,0)),"x",VLOOKUP($A1621,#REF!,3,FALSE))</f>
        <v>x</v>
      </c>
      <c r="G1621" s="9">
        <f t="shared" si="78"/>
        <v>1</v>
      </c>
      <c r="H1621" s="13">
        <f t="shared" si="79"/>
        <v>529</v>
      </c>
    </row>
    <row r="1622" spans="1:8" x14ac:dyDescent="0.25">
      <c r="A1622" s="2" t="str">
        <f>"PASUP125R-4WW-0"</f>
        <v>PASUP125R-4WW-0</v>
      </c>
      <c r="B1622" s="2" t="str">
        <f>"PAS UP Bodeneinbauleuchte, LED 4W, 3000K, Ø125 mm, kpl. aus Edelstahl"</f>
        <v>PAS UP Bodeneinbauleuchte, LED 4W, 3000K, Ø125 mm, kpl. aus Edelstahl</v>
      </c>
      <c r="C1622" s="16">
        <v>529</v>
      </c>
      <c r="D1622" s="11">
        <v>240</v>
      </c>
      <c r="E1622" s="7">
        <f t="shared" si="77"/>
        <v>1</v>
      </c>
      <c r="F1622" s="22" t="str">
        <f>IF(ISERROR(VLOOKUP($A1622,#REF!,3,0)),"x",VLOOKUP($A1622,#REF!,3,FALSE))</f>
        <v>x</v>
      </c>
      <c r="G1622" s="9">
        <f t="shared" si="78"/>
        <v>1</v>
      </c>
      <c r="H1622" s="13">
        <f t="shared" si="79"/>
        <v>529</v>
      </c>
    </row>
    <row r="1623" spans="1:8" x14ac:dyDescent="0.25">
      <c r="A1623" s="2" t="str">
        <f>"PASUP125R-6NW"</f>
        <v>PASUP125R-6NW</v>
      </c>
      <c r="B1623" s="2" t="str">
        <f>"PAS UP Bodeneinbauleuchte, LED 6,5W 4000K Ø125mm, m. Treiber, Abdeckg Edelstahl"</f>
        <v>PAS UP Bodeneinbauleuchte, LED 6,5W 4000K Ø125mm, m. Treiber, Abdeckg Edelstahl</v>
      </c>
      <c r="C1623" s="16">
        <v>401.25</v>
      </c>
      <c r="D1623" s="11">
        <v>240</v>
      </c>
      <c r="E1623" s="7">
        <f t="shared" si="77"/>
        <v>1</v>
      </c>
      <c r="F1623" s="22" t="str">
        <f>IF(ISERROR(VLOOKUP($A1623,#REF!,3,0)),"x",VLOOKUP($A1623,#REF!,3,FALSE))</f>
        <v>x</v>
      </c>
      <c r="G1623" s="9">
        <f t="shared" si="78"/>
        <v>1</v>
      </c>
      <c r="H1623" s="13">
        <f t="shared" si="79"/>
        <v>401.25</v>
      </c>
    </row>
    <row r="1624" spans="1:8" x14ac:dyDescent="0.25">
      <c r="A1624" s="2" t="str">
        <f>"PASUP125R-6WW"</f>
        <v>PASUP125R-6WW</v>
      </c>
      <c r="B1624" s="2" t="str">
        <f>"PAS UP Bodeneinbauleuchte, LED 6,5W 3000K Ø125mm, m. Treiber,Abdeckung Edelstahl"</f>
        <v>PAS UP Bodeneinbauleuchte, LED 6,5W 3000K Ø125mm, m. Treiber,Abdeckung Edelstahl</v>
      </c>
      <c r="C1624" s="16">
        <v>401.25</v>
      </c>
      <c r="D1624" s="11">
        <v>240</v>
      </c>
      <c r="E1624" s="7">
        <f t="shared" si="77"/>
        <v>1</v>
      </c>
      <c r="F1624" s="22" t="str">
        <f>IF(ISERROR(VLOOKUP($A1624,#REF!,3,0)),"x",VLOOKUP($A1624,#REF!,3,FALSE))</f>
        <v>x</v>
      </c>
      <c r="G1624" s="9">
        <f t="shared" si="78"/>
        <v>1</v>
      </c>
      <c r="H1624" s="13">
        <f t="shared" si="79"/>
        <v>401.25</v>
      </c>
    </row>
    <row r="1625" spans="1:8" x14ac:dyDescent="0.25">
      <c r="A1625" s="2" t="str">
        <f>"PASUP125R-GU10"</f>
        <v>PASUP125R-GU10</v>
      </c>
      <c r="B1625" s="2" t="str">
        <f>"PAS UP Bodeneinbauleuchtem, GU10, Ø125mm, Abdeckung Edelstahl"</f>
        <v>PAS UP Bodeneinbauleuchtem, GU10, Ø125mm, Abdeckung Edelstahl</v>
      </c>
      <c r="C1625" s="16">
        <v>336.25</v>
      </c>
      <c r="D1625" s="11">
        <v>240</v>
      </c>
      <c r="E1625" s="7">
        <f t="shared" si="77"/>
        <v>1</v>
      </c>
      <c r="F1625" s="22" t="str">
        <f>IF(ISERROR(VLOOKUP($A1625,#REF!,3,0)),"x",VLOOKUP($A1625,#REF!,3,FALSE))</f>
        <v>x</v>
      </c>
      <c r="G1625" s="9">
        <f t="shared" si="78"/>
        <v>1</v>
      </c>
      <c r="H1625" s="13">
        <f t="shared" si="79"/>
        <v>336.25</v>
      </c>
    </row>
    <row r="1626" spans="1:8" x14ac:dyDescent="0.25">
      <c r="A1626" s="2" t="str">
        <f>"PASUP125R-GU10-0"</f>
        <v>PASUP125R-GU10-0</v>
      </c>
      <c r="B1626" s="2" t="str">
        <f>"PAS UP Bodeneinbauleuchte, GU10, Ø125mm, komplett Edelstahl"</f>
        <v>PAS UP Bodeneinbauleuchte, GU10, Ø125mm, komplett Edelstahl</v>
      </c>
      <c r="C1626" s="16">
        <v>456</v>
      </c>
      <c r="D1626" s="11">
        <v>240</v>
      </c>
      <c r="E1626" s="7">
        <f t="shared" si="77"/>
        <v>1</v>
      </c>
      <c r="F1626" s="22" t="str">
        <f>IF(ISERROR(VLOOKUP($A1626,#REF!,3,0)),"x",VLOOKUP($A1626,#REF!,3,FALSE))</f>
        <v>x</v>
      </c>
      <c r="G1626" s="9">
        <f t="shared" si="78"/>
        <v>1</v>
      </c>
      <c r="H1626" s="13">
        <f t="shared" si="79"/>
        <v>456</v>
      </c>
    </row>
    <row r="1627" spans="1:8" x14ac:dyDescent="0.25">
      <c r="A1627" s="2" t="str">
        <f>"PASUP125UF-8NW7"</f>
        <v>PASUP125UF-8NW7</v>
      </c>
      <c r="B1627" s="2" t="str">
        <f>"PASUltraFlat Bodeneinbauleuchte, LED 8W, 4000K, Ø125mm, mit Treiber, Alu "</f>
        <v xml:space="preserve">PASUltraFlat Bodeneinbauleuchte, LED 8W, 4000K, Ø125mm, mit Treiber, Alu </v>
      </c>
      <c r="C1627" s="16">
        <v>286.75</v>
      </c>
      <c r="D1627" s="11">
        <v>241</v>
      </c>
      <c r="E1627" s="7">
        <f t="shared" si="77"/>
        <v>1</v>
      </c>
      <c r="F1627" s="22" t="str">
        <f>IF(ISERROR(VLOOKUP($A1627,#REF!,3,0)),"x",VLOOKUP($A1627,#REF!,3,FALSE))</f>
        <v>x</v>
      </c>
      <c r="G1627" s="9">
        <f t="shared" si="78"/>
        <v>1</v>
      </c>
      <c r="H1627" s="13">
        <f t="shared" si="79"/>
        <v>286.75</v>
      </c>
    </row>
    <row r="1628" spans="1:8" x14ac:dyDescent="0.25">
      <c r="A1628" s="2" t="str">
        <f>"PASUP125UF-8WW7"</f>
        <v>PASUP125UF-8WW7</v>
      </c>
      <c r="B1628" s="2" t="str">
        <f>"PASUltraFlat Bodeneinbauleuchte, LED 8W, 3000K, Ø125mm, mit Treiber, Alu"</f>
        <v>PASUltraFlat Bodeneinbauleuchte, LED 8W, 3000K, Ø125mm, mit Treiber, Alu</v>
      </c>
      <c r="C1628" s="16">
        <v>286.75</v>
      </c>
      <c r="D1628" s="11">
        <v>241</v>
      </c>
      <c r="E1628" s="7">
        <f t="shared" si="77"/>
        <v>1</v>
      </c>
      <c r="F1628" s="22" t="str">
        <f>IF(ISERROR(VLOOKUP($A1628,#REF!,3,0)),"x",VLOOKUP($A1628,#REF!,3,FALSE))</f>
        <v>x</v>
      </c>
      <c r="G1628" s="9">
        <f t="shared" si="78"/>
        <v>1</v>
      </c>
      <c r="H1628" s="13">
        <f t="shared" si="79"/>
        <v>286.75</v>
      </c>
    </row>
    <row r="1629" spans="1:8" x14ac:dyDescent="0.25">
      <c r="A1629" s="2" t="str">
        <f>"PASUP125UFA-8NW"</f>
        <v>PASUP125UFA-8NW</v>
      </c>
      <c r="B1629" s="2" t="str">
        <f>"PASUltraFlat Bodeneinbauleuchte, LED 8W, 4000K, 125x125mm, mit Treiber,Edelstahl"</f>
        <v>PASUltraFlat Bodeneinbauleuchte, LED 8W, 4000K, 125x125mm, mit Treiber,Edelstahl</v>
      </c>
      <c r="C1629" s="16">
        <v>351.75</v>
      </c>
      <c r="D1629" s="11">
        <v>241</v>
      </c>
      <c r="E1629" s="7">
        <f t="shared" si="77"/>
        <v>1</v>
      </c>
      <c r="F1629" s="22" t="str">
        <f>IF(ISERROR(VLOOKUP($A1629,#REF!,3,0)),"x",VLOOKUP($A1629,#REF!,3,FALSE))</f>
        <v>x</v>
      </c>
      <c r="G1629" s="9">
        <f t="shared" si="78"/>
        <v>1</v>
      </c>
      <c r="H1629" s="13">
        <f t="shared" si="79"/>
        <v>351.75</v>
      </c>
    </row>
    <row r="1630" spans="1:8" x14ac:dyDescent="0.25">
      <c r="A1630" s="2" t="str">
        <f>"PASUP125UFA-8WW"</f>
        <v>PASUP125UFA-8WW</v>
      </c>
      <c r="B1630" s="2" t="str">
        <f>"PASUltraFlat Bodeneinbauleuchte, LED 8W, 3000K,125x125mm, mit Treiber, Edelstahl"</f>
        <v>PASUltraFlat Bodeneinbauleuchte, LED 8W, 3000K,125x125mm, mit Treiber, Edelstahl</v>
      </c>
      <c r="C1630" s="16">
        <v>351.75</v>
      </c>
      <c r="D1630" s="11">
        <v>241</v>
      </c>
      <c r="E1630" s="7">
        <f t="shared" si="77"/>
        <v>1</v>
      </c>
      <c r="F1630" s="22" t="str">
        <f>IF(ISERROR(VLOOKUP($A1630,#REF!,3,0)),"x",VLOOKUP($A1630,#REF!,3,FALSE))</f>
        <v>x</v>
      </c>
      <c r="G1630" s="9">
        <f t="shared" si="78"/>
        <v>1</v>
      </c>
      <c r="H1630" s="13">
        <f t="shared" si="79"/>
        <v>351.75</v>
      </c>
    </row>
    <row r="1631" spans="1:8" x14ac:dyDescent="0.25">
      <c r="A1631" s="2" t="str">
        <f>"PASUP125UFR-8NW"</f>
        <v>PASUP125UFR-8NW</v>
      </c>
      <c r="B1631" s="2" t="str">
        <f>"PASUltraFlat Bodeneinbauleuchte, LED 8W, 4000K, Ø125mm, mit Treiber, Edelstahl"</f>
        <v>PASUltraFlat Bodeneinbauleuchte, LED 8W, 4000K, Ø125mm, mit Treiber, Edelstahl</v>
      </c>
      <c r="C1631" s="16">
        <v>336.25</v>
      </c>
      <c r="D1631" s="11">
        <v>241</v>
      </c>
      <c r="E1631" s="7">
        <f t="shared" si="77"/>
        <v>1</v>
      </c>
      <c r="F1631" s="22" t="str">
        <f>IF(ISERROR(VLOOKUP($A1631,#REF!,3,0)),"x",VLOOKUP($A1631,#REF!,3,FALSE))</f>
        <v>x</v>
      </c>
      <c r="G1631" s="9">
        <f t="shared" si="78"/>
        <v>1</v>
      </c>
      <c r="H1631" s="13">
        <f t="shared" si="79"/>
        <v>336.25</v>
      </c>
    </row>
    <row r="1632" spans="1:8" x14ac:dyDescent="0.25">
      <c r="A1632" s="2" t="str">
        <f>"PASUP125UFR-8WW"</f>
        <v>PASUP125UFR-8WW</v>
      </c>
      <c r="B1632" s="2" t="str">
        <f>"PASUltraFlat Bodeneinbauleuchte, LED 8W, 3000K, Ø125mm, mit Treiber, Edelstahl"</f>
        <v>PASUltraFlat Bodeneinbauleuchte, LED 8W, 3000K, Ø125mm, mit Treiber, Edelstahl</v>
      </c>
      <c r="C1632" s="16">
        <v>336.25</v>
      </c>
      <c r="D1632" s="11">
        <v>241</v>
      </c>
      <c r="E1632" s="7">
        <f t="shared" si="77"/>
        <v>1</v>
      </c>
      <c r="F1632" s="22" t="str">
        <f>IF(ISERROR(VLOOKUP($A1632,#REF!,3,0)),"x",VLOOKUP($A1632,#REF!,3,FALSE))</f>
        <v>x</v>
      </c>
      <c r="G1632" s="9">
        <f t="shared" si="78"/>
        <v>1</v>
      </c>
      <c r="H1632" s="13">
        <f t="shared" si="79"/>
        <v>336.25</v>
      </c>
    </row>
    <row r="1633" spans="1:8" x14ac:dyDescent="0.25">
      <c r="A1633" s="2" t="str">
        <f>"PASUP180-11NW7"</f>
        <v>PASUP180-11NW7</v>
      </c>
      <c r="B1633" s="2" t="str">
        <f>"PAS UP Bodeneinbauleuchte, LED 11W 4000K, Ø180mm, mit Treiber, Alu metallgrau"</f>
        <v>PAS UP Bodeneinbauleuchte, LED 11W 4000K, Ø180mm, mit Treiber, Alu metallgrau</v>
      </c>
      <c r="C1633" s="16">
        <v>414.25</v>
      </c>
      <c r="D1633" s="11">
        <v>242</v>
      </c>
      <c r="E1633" s="7">
        <f t="shared" si="77"/>
        <v>1</v>
      </c>
      <c r="F1633" s="22" t="str">
        <f>IF(ISERROR(VLOOKUP($A1633,#REF!,3,0)),"x",VLOOKUP($A1633,#REF!,3,FALSE))</f>
        <v>x</v>
      </c>
      <c r="G1633" s="9">
        <f t="shared" si="78"/>
        <v>1</v>
      </c>
      <c r="H1633" s="13">
        <f t="shared" si="79"/>
        <v>414.25</v>
      </c>
    </row>
    <row r="1634" spans="1:8" x14ac:dyDescent="0.25">
      <c r="A1634" s="2" t="str">
        <f>"PASUP180-11WW7"</f>
        <v>PASUP180-11WW7</v>
      </c>
      <c r="B1634" s="2" t="str">
        <f>"PAS UP Bodeneinbauleuchte, LED 11W, 3000K, Ø180mm, mit Treiber, Alu metallgrau"</f>
        <v>PAS UP Bodeneinbauleuchte, LED 11W, 3000K, Ø180mm, mit Treiber, Alu metallgrau</v>
      </c>
      <c r="C1634" s="16">
        <v>414.25</v>
      </c>
      <c r="D1634" s="11">
        <v>242</v>
      </c>
      <c r="E1634" s="7">
        <f t="shared" si="77"/>
        <v>1</v>
      </c>
      <c r="F1634" s="22" t="str">
        <f>IF(ISERROR(VLOOKUP($A1634,#REF!,3,0)),"x",VLOOKUP($A1634,#REF!,3,FALSE))</f>
        <v>x</v>
      </c>
      <c r="G1634" s="9">
        <f t="shared" si="78"/>
        <v>1</v>
      </c>
      <c r="H1634" s="13">
        <f t="shared" si="79"/>
        <v>414.25</v>
      </c>
    </row>
    <row r="1635" spans="1:8" x14ac:dyDescent="0.25">
      <c r="A1635" s="2" t="str">
        <f>"PASUP180-18NW7"</f>
        <v>PASUP180-18NW7</v>
      </c>
      <c r="B1635" s="2" t="str">
        <f>"PAS UP Bodeneinbauleuchte, LED 18W 4000K, Ø180mm, mit Treiber, Alu metallgrau"</f>
        <v>PAS UP Bodeneinbauleuchte, LED 18W 4000K, Ø180mm, mit Treiber, Alu metallgrau</v>
      </c>
      <c r="C1635" s="16">
        <v>466.5</v>
      </c>
      <c r="D1635" s="11">
        <v>242</v>
      </c>
      <c r="E1635" s="7">
        <f t="shared" si="77"/>
        <v>1</v>
      </c>
      <c r="F1635" s="22" t="str">
        <f>IF(ISERROR(VLOOKUP($A1635,#REF!,3,0)),"x",VLOOKUP($A1635,#REF!,3,FALSE))</f>
        <v>x</v>
      </c>
      <c r="G1635" s="9">
        <f t="shared" si="78"/>
        <v>1</v>
      </c>
      <c r="H1635" s="13">
        <f t="shared" si="79"/>
        <v>466.5</v>
      </c>
    </row>
    <row r="1636" spans="1:8" x14ac:dyDescent="0.25">
      <c r="A1636" s="2" t="str">
        <f>"PASUP180-18WW7"</f>
        <v>PASUP180-18WW7</v>
      </c>
      <c r="B1636" s="2" t="str">
        <f>"PAS UP Bodeneinbauleuchte, LED 18W 3000K, Ø180mm, mit Treiber, Alu metallgrau"</f>
        <v>PAS UP Bodeneinbauleuchte, LED 18W 3000K, Ø180mm, mit Treiber, Alu metallgrau</v>
      </c>
      <c r="C1636" s="16">
        <v>466.5</v>
      </c>
      <c r="D1636" s="11">
        <v>242</v>
      </c>
      <c r="E1636" s="7">
        <f t="shared" si="77"/>
        <v>1</v>
      </c>
      <c r="F1636" s="22" t="str">
        <f>IF(ISERROR(VLOOKUP($A1636,#REF!,3,0)),"x",VLOOKUP($A1636,#REF!,3,FALSE))</f>
        <v>x</v>
      </c>
      <c r="G1636" s="9">
        <f t="shared" si="78"/>
        <v>1</v>
      </c>
      <c r="H1636" s="13">
        <f t="shared" si="79"/>
        <v>466.5</v>
      </c>
    </row>
    <row r="1637" spans="1:8" x14ac:dyDescent="0.25">
      <c r="A1637" s="2" t="str">
        <f>"PASUP180-6NW7-0"</f>
        <v>PASUP180-6NW7-0</v>
      </c>
      <c r="B1637" s="2" t="str">
        <f>"PASUP Bodeneinbauleuchte,LED 6,5W 4000K Ø180mm, Gehäuse Edelstahl, Abdeckung Alu"</f>
        <v>PASUP Bodeneinbauleuchte,LED 6,5W 4000K Ø180mm, Gehäuse Edelstahl, Abdeckung Alu</v>
      </c>
      <c r="C1637" s="16">
        <v>547.25</v>
      </c>
      <c r="D1637" s="11">
        <v>242</v>
      </c>
      <c r="E1637" s="7">
        <f t="shared" si="77"/>
        <v>1</v>
      </c>
      <c r="F1637" s="22" t="str">
        <f>IF(ISERROR(VLOOKUP($A1637,#REF!,3,0)),"x",VLOOKUP($A1637,#REF!,3,FALSE))</f>
        <v>x</v>
      </c>
      <c r="G1637" s="9">
        <f t="shared" si="78"/>
        <v>1</v>
      </c>
      <c r="H1637" s="13">
        <f t="shared" si="79"/>
        <v>547.25</v>
      </c>
    </row>
    <row r="1638" spans="1:8" x14ac:dyDescent="0.25">
      <c r="A1638" s="2" t="str">
        <f>"PASUP180-6WW7-0"</f>
        <v>PASUP180-6WW7-0</v>
      </c>
      <c r="B1638" s="2" t="str">
        <f>"PASUP Bodeneinbauleuchte,LED 6,5W 3000K Ø180mm, Gehäuse Edelstahl, Abdeckung Alu"</f>
        <v>PASUP Bodeneinbauleuchte,LED 6,5W 3000K Ø180mm, Gehäuse Edelstahl, Abdeckung Alu</v>
      </c>
      <c r="C1638" s="16">
        <v>547.25</v>
      </c>
      <c r="D1638" s="11">
        <v>242</v>
      </c>
      <c r="E1638" s="7">
        <f t="shared" si="77"/>
        <v>1</v>
      </c>
      <c r="F1638" s="22" t="str">
        <f>IF(ISERROR(VLOOKUP($A1638,#REF!,3,0)),"x",VLOOKUP($A1638,#REF!,3,FALSE))</f>
        <v>x</v>
      </c>
      <c r="G1638" s="9">
        <f t="shared" si="78"/>
        <v>1</v>
      </c>
      <c r="H1638" s="13">
        <f t="shared" si="79"/>
        <v>547.25</v>
      </c>
    </row>
    <row r="1639" spans="1:8" x14ac:dyDescent="0.25">
      <c r="A1639" s="2" t="str">
        <f>"PASUP180-GU10-7"</f>
        <v>PASUP180-GU10-7</v>
      </c>
      <c r="B1639" s="2" t="str">
        <f>"PAS UP Bodeneinbauleuchte, GU10, Ø180mm, Abdeckung Alu"</f>
        <v>PAS UP Bodeneinbauleuchte, GU10, Ø180mm, Abdeckung Alu</v>
      </c>
      <c r="C1639" s="16">
        <v>328.25</v>
      </c>
      <c r="D1639" s="11">
        <v>242</v>
      </c>
      <c r="E1639" s="7">
        <f t="shared" si="77"/>
        <v>1</v>
      </c>
      <c r="F1639" s="22" t="str">
        <f>IF(ISERROR(VLOOKUP($A1639,#REF!,3,0)),"x",VLOOKUP($A1639,#REF!,3,FALSE))</f>
        <v>x</v>
      </c>
      <c r="G1639" s="9">
        <f t="shared" si="78"/>
        <v>1</v>
      </c>
      <c r="H1639" s="13">
        <f t="shared" si="79"/>
        <v>328.25</v>
      </c>
    </row>
    <row r="1640" spans="1:8" x14ac:dyDescent="0.25">
      <c r="A1640" s="2" t="str">
        <f>"PASUP180-GU10-7-0"</f>
        <v>PASUP180-GU10-7-0</v>
      </c>
      <c r="B1640" s="2" t="str">
        <f>"PAS UP Bodeneinbauleuchte, GU10, Ø180mm, Gehäuse Edelstahl, Abdeckung Alu"</f>
        <v>PAS UP Bodeneinbauleuchte, GU10, Ø180mm, Gehäuse Edelstahl, Abdeckung Alu</v>
      </c>
      <c r="C1640" s="16">
        <v>471.75</v>
      </c>
      <c r="D1640" s="11">
        <v>242</v>
      </c>
      <c r="E1640" s="7">
        <f t="shared" si="77"/>
        <v>1</v>
      </c>
      <c r="F1640" s="22" t="str">
        <f>IF(ISERROR(VLOOKUP($A1640,#REF!,3,0)),"x",VLOOKUP($A1640,#REF!,3,FALSE))</f>
        <v>x</v>
      </c>
      <c r="G1640" s="9">
        <f t="shared" si="78"/>
        <v>1</v>
      </c>
      <c r="H1640" s="13">
        <f t="shared" si="79"/>
        <v>471.75</v>
      </c>
    </row>
    <row r="1641" spans="1:8" x14ac:dyDescent="0.25">
      <c r="A1641" s="2" t="str">
        <f>"PASUP180A-11NW"</f>
        <v>PASUP180A-11NW</v>
      </c>
      <c r="B1641" s="2" t="str">
        <f>"PAS UP Bodeneinbauleuchte, LED 11W 4000K 180x180mm m.Treiber Abdeckung Edelstahl"</f>
        <v>PAS UP Bodeneinbauleuchte, LED 11W 4000K 180x180mm m.Treiber Abdeckung Edelstahl</v>
      </c>
      <c r="C1641" s="16">
        <v>500.25</v>
      </c>
      <c r="D1641" s="11">
        <v>242</v>
      </c>
      <c r="E1641" s="7">
        <f t="shared" si="77"/>
        <v>1</v>
      </c>
      <c r="F1641" s="22" t="str">
        <f>IF(ISERROR(VLOOKUP($A1641,#REF!,3,0)),"x",VLOOKUP($A1641,#REF!,3,FALSE))</f>
        <v>x</v>
      </c>
      <c r="G1641" s="9">
        <f t="shared" si="78"/>
        <v>1</v>
      </c>
      <c r="H1641" s="13">
        <f t="shared" si="79"/>
        <v>500.25</v>
      </c>
    </row>
    <row r="1642" spans="1:8" x14ac:dyDescent="0.25">
      <c r="A1642" s="2" t="str">
        <f>"PASUP180A-11WW"</f>
        <v>PASUP180A-11WW</v>
      </c>
      <c r="B1642" s="2" t="str">
        <f>"PAS UP Bodeneinbauleuchte, LED 11W 3000K 180x180mm m.Treiber Abdeckung Edelstahl"</f>
        <v>PAS UP Bodeneinbauleuchte, LED 11W 3000K 180x180mm m.Treiber Abdeckung Edelstahl</v>
      </c>
      <c r="C1642" s="16">
        <v>500.25</v>
      </c>
      <c r="D1642" s="11">
        <v>242</v>
      </c>
      <c r="E1642" s="7">
        <f t="shared" si="77"/>
        <v>1</v>
      </c>
      <c r="F1642" s="22" t="str">
        <f>IF(ISERROR(VLOOKUP($A1642,#REF!,3,0)),"x",VLOOKUP($A1642,#REF!,3,FALSE))</f>
        <v>x</v>
      </c>
      <c r="G1642" s="9">
        <f t="shared" si="78"/>
        <v>1</v>
      </c>
      <c r="H1642" s="13">
        <f t="shared" si="79"/>
        <v>500.25</v>
      </c>
    </row>
    <row r="1643" spans="1:8" x14ac:dyDescent="0.25">
      <c r="A1643" s="2" t="str">
        <f>"PASUP180A-18NW"</f>
        <v>PASUP180A-18NW</v>
      </c>
      <c r="B1643" s="2" t="str">
        <f>"PAS UP Bodeneinbauleuchte, LED 18W 4000K 180x180mm m.Treiber Abdeckung Edelstahl"</f>
        <v>PAS UP Bodeneinbauleuchte, LED 18W 4000K 180x180mm m.Treiber Abdeckung Edelstahl</v>
      </c>
      <c r="C1643" s="16">
        <v>552.5</v>
      </c>
      <c r="D1643" s="11">
        <v>242</v>
      </c>
      <c r="E1643" s="7">
        <f t="shared" si="77"/>
        <v>1</v>
      </c>
      <c r="F1643" s="22" t="str">
        <f>IF(ISERROR(VLOOKUP($A1643,#REF!,3,0)),"x",VLOOKUP($A1643,#REF!,3,FALSE))</f>
        <v>x</v>
      </c>
      <c r="G1643" s="9">
        <f t="shared" si="78"/>
        <v>1</v>
      </c>
      <c r="H1643" s="13">
        <f t="shared" si="79"/>
        <v>552.5</v>
      </c>
    </row>
    <row r="1644" spans="1:8" x14ac:dyDescent="0.25">
      <c r="A1644" s="2" t="str">
        <f>"PASUP180A-18WW"</f>
        <v>PASUP180A-18WW</v>
      </c>
      <c r="B1644" s="2" t="str">
        <f>"PAS UP Bodeneinbauleuchte, LED 18W 3000K 180x180mm m.Treiber Abdeckung Edelstahl"</f>
        <v>PAS UP Bodeneinbauleuchte, LED 18W 3000K 180x180mm m.Treiber Abdeckung Edelstahl</v>
      </c>
      <c r="C1644" s="16">
        <v>552.5</v>
      </c>
      <c r="D1644" s="11">
        <v>242</v>
      </c>
      <c r="E1644" s="7">
        <f t="shared" si="77"/>
        <v>1</v>
      </c>
      <c r="F1644" s="22" t="str">
        <f>IF(ISERROR(VLOOKUP($A1644,#REF!,3,0)),"x",VLOOKUP($A1644,#REF!,3,FALSE))</f>
        <v>x</v>
      </c>
      <c r="G1644" s="9">
        <f t="shared" si="78"/>
        <v>1</v>
      </c>
      <c r="H1644" s="13">
        <f t="shared" si="79"/>
        <v>552.5</v>
      </c>
    </row>
    <row r="1645" spans="1:8" x14ac:dyDescent="0.25">
      <c r="A1645" s="2" t="str">
        <f>"PASUP180A-6NW-0"</f>
        <v>PASUP180A-6NW-0</v>
      </c>
      <c r="B1645" s="2" t="str">
        <f>"PAS UP Bodeneinbauleuchte, LED 6,5W 4000K, 180x180mm, kpl. aus Edelstahl"</f>
        <v>PAS UP Bodeneinbauleuchte, LED 6,5W 4000K, 180x180mm, kpl. aus Edelstahl</v>
      </c>
      <c r="C1645" s="16">
        <v>633.25</v>
      </c>
      <c r="D1645" s="11">
        <v>242</v>
      </c>
      <c r="E1645" s="7">
        <f t="shared" si="77"/>
        <v>1</v>
      </c>
      <c r="F1645" s="22" t="str">
        <f>IF(ISERROR(VLOOKUP($A1645,#REF!,3,0)),"x",VLOOKUP($A1645,#REF!,3,FALSE))</f>
        <v>x</v>
      </c>
      <c r="G1645" s="9">
        <f t="shared" si="78"/>
        <v>1</v>
      </c>
      <c r="H1645" s="13">
        <f t="shared" si="79"/>
        <v>633.25</v>
      </c>
    </row>
    <row r="1646" spans="1:8" x14ac:dyDescent="0.25">
      <c r="A1646" s="2" t="str">
        <f>"PASUP180A-6WW-0"</f>
        <v>PASUP180A-6WW-0</v>
      </c>
      <c r="B1646" s="2" t="str">
        <f>"PAS UP Bodeneinbauleuchte, LED 6,5W 3000K, 180x180mm, kpl. aus Edelstahl"</f>
        <v>PAS UP Bodeneinbauleuchte, LED 6,5W 3000K, 180x180mm, kpl. aus Edelstahl</v>
      </c>
      <c r="C1646" s="16">
        <v>633.25</v>
      </c>
      <c r="D1646" s="11">
        <v>242</v>
      </c>
      <c r="E1646" s="7">
        <f t="shared" si="77"/>
        <v>1</v>
      </c>
      <c r="F1646" s="22" t="str">
        <f>IF(ISERROR(VLOOKUP($A1646,#REF!,3,0)),"x",VLOOKUP($A1646,#REF!,3,FALSE))</f>
        <v>x</v>
      </c>
      <c r="G1646" s="9">
        <f t="shared" si="78"/>
        <v>1</v>
      </c>
      <c r="H1646" s="13">
        <f t="shared" si="79"/>
        <v>633.25</v>
      </c>
    </row>
    <row r="1647" spans="1:8" x14ac:dyDescent="0.25">
      <c r="A1647" s="2" t="str">
        <f>"PASUP180A-GU10"</f>
        <v>PASUP180A-GU10</v>
      </c>
      <c r="B1647" s="2" t="str">
        <f>"PAS UP Bodeneinbauleuchte, GU10, 180x180mm, Abdeckung Edelstahl"</f>
        <v>PAS UP Bodeneinbauleuchte, GU10, 180x180mm, Abdeckung Edelstahl</v>
      </c>
      <c r="C1647" s="16">
        <v>414.25</v>
      </c>
      <c r="D1647" s="11">
        <v>242</v>
      </c>
      <c r="E1647" s="7">
        <f t="shared" si="77"/>
        <v>1</v>
      </c>
      <c r="F1647" s="22" t="str">
        <f>IF(ISERROR(VLOOKUP($A1647,#REF!,3,0)),"x",VLOOKUP($A1647,#REF!,3,FALSE))</f>
        <v>x</v>
      </c>
      <c r="G1647" s="9">
        <f t="shared" si="78"/>
        <v>1</v>
      </c>
      <c r="H1647" s="13">
        <f t="shared" si="79"/>
        <v>414.25</v>
      </c>
    </row>
    <row r="1648" spans="1:8" x14ac:dyDescent="0.25">
      <c r="A1648" s="2" t="str">
        <f>"PASUP180A-GU10-7-0"</f>
        <v>PASUP180A-GU10-7-0</v>
      </c>
      <c r="B1648" s="2" t="str">
        <f>"PAS UP Bodeneinbauleuchte, GU10, 180x180mm, Gehäuse Edelstahl, Abdeckung Alu"</f>
        <v>PAS UP Bodeneinbauleuchte, GU10, 180x180mm, Gehäuse Edelstahl, Abdeckung Alu</v>
      </c>
      <c r="C1648" s="16">
        <v>471.75</v>
      </c>
      <c r="D1648" s="11">
        <v>242</v>
      </c>
      <c r="E1648" s="7">
        <f t="shared" si="77"/>
        <v>1</v>
      </c>
      <c r="F1648" s="22" t="str">
        <f>IF(ISERROR(VLOOKUP($A1648,#REF!,3,0)),"x",VLOOKUP($A1648,#REF!,3,FALSE))</f>
        <v>x</v>
      </c>
      <c r="G1648" s="9">
        <f t="shared" si="78"/>
        <v>1</v>
      </c>
      <c r="H1648" s="13">
        <f t="shared" si="79"/>
        <v>471.75</v>
      </c>
    </row>
    <row r="1649" spans="1:8" x14ac:dyDescent="0.25">
      <c r="A1649" s="2" t="str">
        <f>"PASUP180R-11NW"</f>
        <v>PASUP180R-11NW</v>
      </c>
      <c r="B1649" s="2" t="str">
        <f>"PAS UP Bodeneinbauleuchte, LED 11W 4000K, Ø180mm, mit Treiber, Edelstahl"</f>
        <v>PAS UP Bodeneinbauleuchte, LED 11W 4000K, Ø180mm, mit Treiber, Edelstahl</v>
      </c>
      <c r="C1649" s="16">
        <v>482</v>
      </c>
      <c r="D1649" s="11">
        <v>242</v>
      </c>
      <c r="E1649" s="7">
        <f t="shared" si="77"/>
        <v>1</v>
      </c>
      <c r="F1649" s="22" t="str">
        <f>IF(ISERROR(VLOOKUP($A1649,#REF!,3,0)),"x",VLOOKUP($A1649,#REF!,3,FALSE))</f>
        <v>x</v>
      </c>
      <c r="G1649" s="9">
        <f t="shared" si="78"/>
        <v>1</v>
      </c>
      <c r="H1649" s="13">
        <f t="shared" si="79"/>
        <v>482</v>
      </c>
    </row>
    <row r="1650" spans="1:8" x14ac:dyDescent="0.25">
      <c r="A1650" s="2" t="str">
        <f>"PASUP180R-11WW"</f>
        <v>PASUP180R-11WW</v>
      </c>
      <c r="B1650" s="2" t="str">
        <f>"PAS UP Bodeneinbauleuchte, LED 11W, 3000K, Ø180mm, mit Treiber, Edelstahl"</f>
        <v>PAS UP Bodeneinbauleuchte, LED 11W, 3000K, Ø180mm, mit Treiber, Edelstahl</v>
      </c>
      <c r="C1650" s="16">
        <v>482</v>
      </c>
      <c r="D1650" s="11">
        <v>242</v>
      </c>
      <c r="E1650" s="7">
        <f t="shared" si="77"/>
        <v>1</v>
      </c>
      <c r="F1650" s="22" t="str">
        <f>IF(ISERROR(VLOOKUP($A1650,#REF!,3,0)),"x",VLOOKUP($A1650,#REF!,3,FALSE))</f>
        <v>x</v>
      </c>
      <c r="G1650" s="9">
        <f t="shared" si="78"/>
        <v>1</v>
      </c>
      <c r="H1650" s="13">
        <f t="shared" si="79"/>
        <v>482</v>
      </c>
    </row>
    <row r="1651" spans="1:8" x14ac:dyDescent="0.25">
      <c r="A1651" s="2" t="str">
        <f>"PASUP180R-18NW"</f>
        <v>PASUP180R-18NW</v>
      </c>
      <c r="B1651" s="2" t="str">
        <f>"PAS UP Bodeneinbauleuchte, LED 18W, 4000K, Ø180mm, mit Treiber, Edelstahl"</f>
        <v>PAS UP Bodeneinbauleuchte, LED 18W, 4000K, Ø180mm, mit Treiber, Edelstahl</v>
      </c>
      <c r="C1651" s="16">
        <v>534.25</v>
      </c>
      <c r="D1651" s="11">
        <v>242</v>
      </c>
      <c r="E1651" s="7">
        <f t="shared" si="77"/>
        <v>1</v>
      </c>
      <c r="F1651" s="22" t="str">
        <f>IF(ISERROR(VLOOKUP($A1651,#REF!,3,0)),"x",VLOOKUP($A1651,#REF!,3,FALSE))</f>
        <v>x</v>
      </c>
      <c r="G1651" s="9">
        <f t="shared" si="78"/>
        <v>1</v>
      </c>
      <c r="H1651" s="13">
        <f t="shared" si="79"/>
        <v>534.25</v>
      </c>
    </row>
    <row r="1652" spans="1:8" x14ac:dyDescent="0.25">
      <c r="A1652" s="2" t="str">
        <f>"PASUP180R-18WW"</f>
        <v>PASUP180R-18WW</v>
      </c>
      <c r="B1652" s="2" t="str">
        <f>"PAS UP Bodeneinbauleuchte, LED 18W, 3000K, Ø180mm, mit Treiber, Edelstahl"</f>
        <v>PAS UP Bodeneinbauleuchte, LED 18W, 3000K, Ø180mm, mit Treiber, Edelstahl</v>
      </c>
      <c r="C1652" s="16">
        <v>534.25</v>
      </c>
      <c r="D1652" s="11">
        <v>242</v>
      </c>
      <c r="E1652" s="7">
        <f t="shared" si="77"/>
        <v>1</v>
      </c>
      <c r="F1652" s="22" t="str">
        <f>IF(ISERROR(VLOOKUP($A1652,#REF!,3,0)),"x",VLOOKUP($A1652,#REF!,3,FALSE))</f>
        <v>x</v>
      </c>
      <c r="G1652" s="9">
        <f t="shared" si="78"/>
        <v>1</v>
      </c>
      <c r="H1652" s="13">
        <f t="shared" si="79"/>
        <v>534.25</v>
      </c>
    </row>
    <row r="1653" spans="1:8" x14ac:dyDescent="0.25">
      <c r="A1653" s="2" t="str">
        <f>"PASUP180R-6NW-0"</f>
        <v>PASUP180R-6NW-0</v>
      </c>
      <c r="B1653" s="2" t="str">
        <f>"PAS UP Bodeneinbauleuchte, LED 6,5W 4000K, Ø180mm, kpl. aus Edelstahl"</f>
        <v>PAS UP Bodeneinbauleuchte, LED 6,5W 4000K, Ø180mm, kpl. aus Edelstahl</v>
      </c>
      <c r="C1653" s="16">
        <v>615</v>
      </c>
      <c r="D1653" s="11">
        <v>242</v>
      </c>
      <c r="E1653" s="7">
        <f t="shared" si="77"/>
        <v>1</v>
      </c>
      <c r="F1653" s="22" t="str">
        <f>IF(ISERROR(VLOOKUP($A1653,#REF!,3,0)),"x",VLOOKUP($A1653,#REF!,3,FALSE))</f>
        <v>x</v>
      </c>
      <c r="G1653" s="9">
        <f t="shared" si="78"/>
        <v>1</v>
      </c>
      <c r="H1653" s="13">
        <f t="shared" si="79"/>
        <v>615</v>
      </c>
    </row>
    <row r="1654" spans="1:8" x14ac:dyDescent="0.25">
      <c r="A1654" s="2" t="str">
        <f>"PASUP180R-6WW-0"</f>
        <v>PASUP180R-6WW-0</v>
      </c>
      <c r="B1654" s="2" t="str">
        <f>"PAS UP Bodeneinbauleuchte, LED 6,5W 3000K, Ø180mm, kpl. aus Edelstahl"</f>
        <v>PAS UP Bodeneinbauleuchte, LED 6,5W 3000K, Ø180mm, kpl. aus Edelstahl</v>
      </c>
      <c r="C1654" s="16">
        <v>615</v>
      </c>
      <c r="D1654" s="11">
        <v>242</v>
      </c>
      <c r="E1654" s="7">
        <f t="shared" si="77"/>
        <v>1</v>
      </c>
      <c r="F1654" s="22" t="str">
        <f>IF(ISERROR(VLOOKUP($A1654,#REF!,3,0)),"x",VLOOKUP($A1654,#REF!,3,FALSE))</f>
        <v>x</v>
      </c>
      <c r="G1654" s="9">
        <f t="shared" si="78"/>
        <v>1</v>
      </c>
      <c r="H1654" s="13">
        <f t="shared" si="79"/>
        <v>615</v>
      </c>
    </row>
    <row r="1655" spans="1:8" x14ac:dyDescent="0.25">
      <c r="A1655" s="2" t="str">
        <f>"PASUP180R-GU10"</f>
        <v>PASUP180R-GU10</v>
      </c>
      <c r="B1655" s="2" t="str">
        <f>"PAS UP Bodeneinbauleuchte, GU10, Ø180mm, Abdeckung Edelstahl"</f>
        <v>PAS UP Bodeneinbauleuchte, GU10, Ø180mm, Abdeckung Edelstahl</v>
      </c>
      <c r="C1655" s="16">
        <v>396</v>
      </c>
      <c r="D1655" s="11">
        <v>242</v>
      </c>
      <c r="E1655" s="7">
        <f t="shared" si="77"/>
        <v>1</v>
      </c>
      <c r="F1655" s="22" t="str">
        <f>IF(ISERROR(VLOOKUP($A1655,#REF!,3,0)),"x",VLOOKUP($A1655,#REF!,3,FALSE))</f>
        <v>x</v>
      </c>
      <c r="G1655" s="9">
        <f t="shared" si="78"/>
        <v>1</v>
      </c>
      <c r="H1655" s="13">
        <f t="shared" si="79"/>
        <v>396</v>
      </c>
    </row>
    <row r="1656" spans="1:8" x14ac:dyDescent="0.25">
      <c r="A1656" s="2" t="str">
        <f>"PASUP180R-GU10-0"</f>
        <v>PASUP180R-GU10-0</v>
      </c>
      <c r="B1656" s="2" t="str">
        <f>"PAS UP Bodeneinbauleuchte, GU10, Ø180mm, komplett Edelstahl"</f>
        <v>PAS UP Bodeneinbauleuchte, GU10, Ø180mm, komplett Edelstahl</v>
      </c>
      <c r="C1656" s="16">
        <v>539.25</v>
      </c>
      <c r="D1656" s="11">
        <v>242</v>
      </c>
      <c r="E1656" s="7">
        <f t="shared" si="77"/>
        <v>1</v>
      </c>
      <c r="F1656" s="22" t="str">
        <f>IF(ISERROR(VLOOKUP($A1656,#REF!,3,0)),"x",VLOOKUP($A1656,#REF!,3,FALSE))</f>
        <v>x</v>
      </c>
      <c r="G1656" s="9">
        <f t="shared" si="78"/>
        <v>1</v>
      </c>
      <c r="H1656" s="13">
        <f t="shared" si="79"/>
        <v>539.25</v>
      </c>
    </row>
    <row r="1657" spans="1:8" x14ac:dyDescent="0.25">
      <c r="A1657" s="2" t="str">
        <f>"PASUP245-33NW7"</f>
        <v>PASUP245-33NW7</v>
      </c>
      <c r="B1657" s="2" t="str">
        <f>"PAS UP Bodeneinbauleuchte, LED 33W Ø245mm, 4000K, mit Treiber, Alu, metallgrau"</f>
        <v>PAS UP Bodeneinbauleuchte, LED 33W Ø245mm, 4000K, mit Treiber, Alu, metallgrau</v>
      </c>
      <c r="C1657" s="16">
        <v>734.75</v>
      </c>
      <c r="D1657" s="11">
        <v>243</v>
      </c>
      <c r="E1657" s="7">
        <f t="shared" si="77"/>
        <v>1</v>
      </c>
      <c r="F1657" s="22" t="str">
        <f>IF(ISERROR(VLOOKUP($A1657,#REF!,3,0)),"x",VLOOKUP($A1657,#REF!,3,FALSE))</f>
        <v>x</v>
      </c>
      <c r="G1657" s="9">
        <f t="shared" si="78"/>
        <v>1</v>
      </c>
      <c r="H1657" s="13">
        <f t="shared" si="79"/>
        <v>734.75</v>
      </c>
    </row>
    <row r="1658" spans="1:8" x14ac:dyDescent="0.25">
      <c r="A1658" s="2" t="str">
        <f>"PASUP245-33WW7"</f>
        <v>PASUP245-33WW7</v>
      </c>
      <c r="B1658" s="2" t="str">
        <f>"PAS UP Bodeneinbauleuchte, LED 33W Ø245mm, 3000K, mit Treiber, Alu, metallgrau"</f>
        <v>PAS UP Bodeneinbauleuchte, LED 33W Ø245mm, 3000K, mit Treiber, Alu, metallgrau</v>
      </c>
      <c r="C1658" s="16">
        <v>734.75</v>
      </c>
      <c r="D1658" s="11">
        <v>243</v>
      </c>
      <c r="E1658" s="7">
        <f t="shared" si="77"/>
        <v>1</v>
      </c>
      <c r="F1658" s="22" t="str">
        <f>IF(ISERROR(VLOOKUP($A1658,#REF!,3,0)),"x",VLOOKUP($A1658,#REF!,3,FALSE))</f>
        <v>x</v>
      </c>
      <c r="G1658" s="9">
        <f t="shared" si="78"/>
        <v>1</v>
      </c>
      <c r="H1658" s="13">
        <f t="shared" si="79"/>
        <v>734.75</v>
      </c>
    </row>
    <row r="1659" spans="1:8" x14ac:dyDescent="0.25">
      <c r="A1659" s="2" t="str">
        <f>"PASUP245R-33NW"</f>
        <v>PASUP245R-33NW</v>
      </c>
      <c r="B1659" s="2" t="str">
        <f>"PAS UP Bodeneinbauleuchte, LED 33W Ø245mm, 4000K, mit Treiber, Edelstahl"</f>
        <v>PAS UP Bodeneinbauleuchte, LED 33W Ø245mm, 4000K, mit Treiber, Edelstahl</v>
      </c>
      <c r="C1659" s="16">
        <v>841.5</v>
      </c>
      <c r="D1659" s="11">
        <v>243</v>
      </c>
      <c r="E1659" s="7">
        <f t="shared" si="77"/>
        <v>1</v>
      </c>
      <c r="F1659" s="22" t="str">
        <f>IF(ISERROR(VLOOKUP($A1659,#REF!,3,0)),"x",VLOOKUP($A1659,#REF!,3,FALSE))</f>
        <v>x</v>
      </c>
      <c r="G1659" s="9">
        <f t="shared" si="78"/>
        <v>1</v>
      </c>
      <c r="H1659" s="13">
        <f t="shared" si="79"/>
        <v>841.5</v>
      </c>
    </row>
    <row r="1660" spans="1:8" x14ac:dyDescent="0.25">
      <c r="A1660" s="2" t="str">
        <f>"PASUP245R-33WW"</f>
        <v>PASUP245R-33WW</v>
      </c>
      <c r="B1660" s="2" t="str">
        <f>"PAS UP Bodeneinbauleuchte, LED 33W, Ø245mm, 3000K, mit Treiber, Edelstahl"</f>
        <v>PAS UP Bodeneinbauleuchte, LED 33W, Ø245mm, 3000K, mit Treiber, Edelstahl</v>
      </c>
      <c r="C1660" s="16">
        <v>841.5</v>
      </c>
      <c r="D1660" s="11">
        <v>243</v>
      </c>
      <c r="E1660" s="7">
        <f t="shared" si="77"/>
        <v>1</v>
      </c>
      <c r="F1660" s="22" t="str">
        <f>IF(ISERROR(VLOOKUP($A1660,#REF!,3,0)),"x",VLOOKUP($A1660,#REF!,3,FALSE))</f>
        <v>x</v>
      </c>
      <c r="G1660" s="9">
        <f t="shared" si="78"/>
        <v>1</v>
      </c>
      <c r="H1660" s="13">
        <f t="shared" si="79"/>
        <v>841.5</v>
      </c>
    </row>
    <row r="1661" spans="1:8" x14ac:dyDescent="0.25">
      <c r="A1661" s="2" t="str">
        <f>"PASUP70-1NW7"</f>
        <v>PASUP70-1NW7</v>
      </c>
      <c r="B1661" s="2" t="str">
        <f>"PAS UP Bodeneinbauleuchte, LED1W, 4000K, Ø70mm externer Treiber, Alu, metallgrau"</f>
        <v>PAS UP Bodeneinbauleuchte, LED1W, 4000K, Ø70mm externer Treiber, Alu, metallgrau</v>
      </c>
      <c r="C1661" s="16">
        <v>271.5</v>
      </c>
      <c r="D1661" s="11">
        <v>239</v>
      </c>
      <c r="E1661" s="7">
        <f t="shared" si="77"/>
        <v>1</v>
      </c>
      <c r="F1661" s="22" t="str">
        <f>IF(ISERROR(VLOOKUP($A1661,#REF!,3,0)),"x",VLOOKUP($A1661,#REF!,3,FALSE))</f>
        <v>x</v>
      </c>
      <c r="G1661" s="9">
        <f t="shared" si="78"/>
        <v>1</v>
      </c>
      <c r="H1661" s="13">
        <f t="shared" si="79"/>
        <v>271.5</v>
      </c>
    </row>
    <row r="1662" spans="1:8" x14ac:dyDescent="0.25">
      <c r="A1662" s="2" t="str">
        <f>"PASUP70-1NW7-0"</f>
        <v>PASUP70-1NW7-0</v>
      </c>
      <c r="B1662" s="2" t="str">
        <f>"PAS UP Bodeneinbauleuchte, LED 1W, 4000K, Ø70mm, Gehäuse Edelstahl, Abdeckg Alu"</f>
        <v>PAS UP Bodeneinbauleuchte, LED 1W, 4000K, Ø70mm, Gehäuse Edelstahl, Abdeckg Alu</v>
      </c>
      <c r="C1662" s="16">
        <v>361.25</v>
      </c>
      <c r="D1662" s="11">
        <v>239</v>
      </c>
      <c r="E1662" s="7">
        <f t="shared" si="77"/>
        <v>1</v>
      </c>
      <c r="F1662" s="22" t="str">
        <f>IF(ISERROR(VLOOKUP($A1662,#REF!,3,0)),"x",VLOOKUP($A1662,#REF!,3,FALSE))</f>
        <v>x</v>
      </c>
      <c r="G1662" s="9">
        <f t="shared" si="78"/>
        <v>1</v>
      </c>
      <c r="H1662" s="13">
        <f t="shared" si="79"/>
        <v>361.25</v>
      </c>
    </row>
    <row r="1663" spans="1:8" x14ac:dyDescent="0.25">
      <c r="A1663" s="2" t="str">
        <f>"PASUP70-1WW7"</f>
        <v>PASUP70-1WW7</v>
      </c>
      <c r="B1663" s="2" t="str">
        <f>"PAS UP Bodeneinbauleuchte, LED1W, 3000K, Ø70mm externer Treiber, Alu, metallgrau"</f>
        <v>PAS UP Bodeneinbauleuchte, LED1W, 3000K, Ø70mm externer Treiber, Alu, metallgrau</v>
      </c>
      <c r="C1663" s="16">
        <v>271.5</v>
      </c>
      <c r="D1663" s="11">
        <v>239</v>
      </c>
      <c r="E1663" s="7">
        <f t="shared" si="77"/>
        <v>1</v>
      </c>
      <c r="F1663" s="22" t="str">
        <f>IF(ISERROR(VLOOKUP($A1663,#REF!,3,0)),"x",VLOOKUP($A1663,#REF!,3,FALSE))</f>
        <v>x</v>
      </c>
      <c r="G1663" s="9">
        <f t="shared" si="78"/>
        <v>1</v>
      </c>
      <c r="H1663" s="13">
        <f t="shared" si="79"/>
        <v>271.5</v>
      </c>
    </row>
    <row r="1664" spans="1:8" x14ac:dyDescent="0.25">
      <c r="A1664" s="2" t="str">
        <f>"PASUP70-1WW7-0"</f>
        <v>PASUP70-1WW7-0</v>
      </c>
      <c r="B1664" s="2" t="str">
        <f>"PAS UP Bodeneinbauleuchte, LED 1W, 3000K, Ø70mm, Gehäuse Edelstahl, Abdeckg Alu"</f>
        <v>PAS UP Bodeneinbauleuchte, LED 1W, 3000K, Ø70mm, Gehäuse Edelstahl, Abdeckg Alu</v>
      </c>
      <c r="C1664" s="16">
        <v>361.25</v>
      </c>
      <c r="D1664" s="11">
        <v>239</v>
      </c>
      <c r="E1664" s="7">
        <f t="shared" si="77"/>
        <v>1</v>
      </c>
      <c r="F1664" s="22" t="str">
        <f>IF(ISERROR(VLOOKUP($A1664,#REF!,3,0)),"x",VLOOKUP($A1664,#REF!,3,FALSE))</f>
        <v>x</v>
      </c>
      <c r="G1664" s="9">
        <f t="shared" si="78"/>
        <v>1</v>
      </c>
      <c r="H1664" s="13">
        <f t="shared" si="79"/>
        <v>361.25</v>
      </c>
    </row>
    <row r="1665" spans="1:8" x14ac:dyDescent="0.25">
      <c r="A1665" s="2" t="str">
        <f>"PASUP70-3NW7"</f>
        <v>PASUP70-3NW7</v>
      </c>
      <c r="B1665" s="2" t="str">
        <f>"PAS UP Bodeneinbauleuchte, LED3W, 4000K, Ø70mm externer Treiber, Alu, metallgrau"</f>
        <v>PAS UP Bodeneinbauleuchte, LED3W, 4000K, Ø70mm externer Treiber, Alu, metallgrau</v>
      </c>
      <c r="C1665" s="16">
        <v>280</v>
      </c>
      <c r="D1665" s="11">
        <v>239</v>
      </c>
      <c r="E1665" s="7">
        <f t="shared" si="77"/>
        <v>1</v>
      </c>
      <c r="F1665" s="22" t="str">
        <f>IF(ISERROR(VLOOKUP($A1665,#REF!,3,0)),"x",VLOOKUP($A1665,#REF!,3,FALSE))</f>
        <v>x</v>
      </c>
      <c r="G1665" s="9">
        <f t="shared" si="78"/>
        <v>1</v>
      </c>
      <c r="H1665" s="13">
        <f t="shared" si="79"/>
        <v>280</v>
      </c>
    </row>
    <row r="1666" spans="1:8" x14ac:dyDescent="0.25">
      <c r="A1666" s="2" t="str">
        <f>"PASUP70-3NW7-0"</f>
        <v>PASUP70-3NW7-0</v>
      </c>
      <c r="B1666" s="2" t="str">
        <f>"PAS UP Bodeneinbauleuchte, LED 3W, 4000K, Ø70mm, Gehäuse Edelstahl, Abdeckg Alu"</f>
        <v>PAS UP Bodeneinbauleuchte, LED 3W, 4000K, Ø70mm, Gehäuse Edelstahl, Abdeckg Alu</v>
      </c>
      <c r="C1666" s="16">
        <v>370</v>
      </c>
      <c r="D1666" s="11">
        <v>239</v>
      </c>
      <c r="E1666" s="7">
        <f t="shared" si="77"/>
        <v>1</v>
      </c>
      <c r="F1666" s="22" t="str">
        <f>IF(ISERROR(VLOOKUP($A1666,#REF!,3,0)),"x",VLOOKUP($A1666,#REF!,3,FALSE))</f>
        <v>x</v>
      </c>
      <c r="G1666" s="9">
        <f t="shared" si="78"/>
        <v>1</v>
      </c>
      <c r="H1666" s="13">
        <f t="shared" si="79"/>
        <v>370</v>
      </c>
    </row>
    <row r="1667" spans="1:8" x14ac:dyDescent="0.25">
      <c r="A1667" s="2" t="str">
        <f>"PASUP70-3WW7"</f>
        <v>PASUP70-3WW7</v>
      </c>
      <c r="B1667" s="2" t="str">
        <f>"PAS UP Bodeneinbauleuchte, LED 3W, 3000K, Ø70mm externer Treiber, Alu,metallgrau"</f>
        <v>PAS UP Bodeneinbauleuchte, LED 3W, 3000K, Ø70mm externer Treiber, Alu,metallgrau</v>
      </c>
      <c r="C1667" s="16">
        <v>280</v>
      </c>
      <c r="D1667" s="11">
        <v>239</v>
      </c>
      <c r="E1667" s="7">
        <f t="shared" ref="E1667:E1730" si="80">G1667</f>
        <v>1</v>
      </c>
      <c r="F1667" s="22" t="str">
        <f>IF(ISERROR(VLOOKUP($A1667,#REF!,3,0)),"x",VLOOKUP($A1667,#REF!,3,FALSE))</f>
        <v>x</v>
      </c>
      <c r="G1667" s="9">
        <f t="shared" ref="G1667:G1730" si="81">IF(C1667&lt;F1667,1,IF(C1667&gt;F1667,-1,0))</f>
        <v>1</v>
      </c>
      <c r="H1667" s="13">
        <f t="shared" si="79"/>
        <v>280</v>
      </c>
    </row>
    <row r="1668" spans="1:8" x14ac:dyDescent="0.25">
      <c r="A1668" s="2" t="str">
        <f>"PASUP70-3WW7-0"</f>
        <v>PASUP70-3WW7-0</v>
      </c>
      <c r="B1668" s="2" t="str">
        <f>"PAS UP Bodeneinbauleuchte, LED 3W, 3000K, Ø70mm, Gehäuse Edelstahl, Abdeckg Alu"</f>
        <v>PAS UP Bodeneinbauleuchte, LED 3W, 3000K, Ø70mm, Gehäuse Edelstahl, Abdeckg Alu</v>
      </c>
      <c r="C1668" s="16">
        <v>370</v>
      </c>
      <c r="D1668" s="11">
        <v>239</v>
      </c>
      <c r="E1668" s="7">
        <f t="shared" si="80"/>
        <v>1</v>
      </c>
      <c r="F1668" s="22" t="str">
        <f>IF(ISERROR(VLOOKUP($A1668,#REF!,3,0)),"x",VLOOKUP($A1668,#REF!,3,FALSE))</f>
        <v>x</v>
      </c>
      <c r="G1668" s="9">
        <f t="shared" si="81"/>
        <v>1</v>
      </c>
      <c r="H1668" s="13">
        <f t="shared" si="79"/>
        <v>370</v>
      </c>
    </row>
    <row r="1669" spans="1:8" x14ac:dyDescent="0.25">
      <c r="A1669" s="2" t="str">
        <f>"PASUP70A-1NW"</f>
        <v>PASUP70A-1NW</v>
      </c>
      <c r="B1669" s="2" t="str">
        <f>"PAS UP Bodeneinbauleuchte, LED 1W, 4000K 70x70mm Gehäuse Alu, Abdeckg Edelstahl"</f>
        <v>PAS UP Bodeneinbauleuchte, LED 1W, 4000K 70x70mm Gehäuse Alu, Abdeckg Edelstahl</v>
      </c>
      <c r="C1669" s="16">
        <v>325.75</v>
      </c>
      <c r="D1669" s="11">
        <v>239</v>
      </c>
      <c r="E1669" s="7">
        <f t="shared" si="80"/>
        <v>1</v>
      </c>
      <c r="F1669" s="22" t="str">
        <f>IF(ISERROR(VLOOKUP($A1669,#REF!,3,0)),"x",VLOOKUP($A1669,#REF!,3,FALSE))</f>
        <v>x</v>
      </c>
      <c r="G1669" s="9">
        <f t="shared" si="81"/>
        <v>1</v>
      </c>
      <c r="H1669" s="13">
        <f t="shared" ref="H1669:H1732" si="82">IF(F1669="x",C1669,F1669)</f>
        <v>325.75</v>
      </c>
    </row>
    <row r="1670" spans="1:8" x14ac:dyDescent="0.25">
      <c r="A1670" s="2" t="str">
        <f>"PASUP70A-1NW-0"</f>
        <v>PASUP70A-1NW-0</v>
      </c>
      <c r="B1670" s="2" t="str">
        <f>"PAS UP Bodeneinbauleuchte, LED 1W, 4000K, 70x70mm, kpl. aus Edelstahl"</f>
        <v>PAS UP Bodeneinbauleuchte, LED 1W, 4000K, 70x70mm, kpl. aus Edelstahl</v>
      </c>
      <c r="C1670" s="16">
        <v>417</v>
      </c>
      <c r="D1670" s="11">
        <v>239</v>
      </c>
      <c r="E1670" s="7">
        <f t="shared" si="80"/>
        <v>1</v>
      </c>
      <c r="F1670" s="22" t="str">
        <f>IF(ISERROR(VLOOKUP($A1670,#REF!,3,0)),"x",VLOOKUP($A1670,#REF!,3,FALSE))</f>
        <v>x</v>
      </c>
      <c r="G1670" s="9">
        <f t="shared" si="81"/>
        <v>1</v>
      </c>
      <c r="H1670" s="13">
        <f t="shared" si="82"/>
        <v>417</v>
      </c>
    </row>
    <row r="1671" spans="1:8" x14ac:dyDescent="0.25">
      <c r="A1671" s="2" t="str">
        <f>"PASUP70A-1WW"</f>
        <v>PASUP70A-1WW</v>
      </c>
      <c r="B1671" s="2" t="str">
        <f>"PAS UP Bodeneinbauleuchte, LED 1W, 3000K 70x70mm Gehäuse Alu, Abdeckg Edelstahl"</f>
        <v>PAS UP Bodeneinbauleuchte, LED 1W, 3000K 70x70mm Gehäuse Alu, Abdeckg Edelstahl</v>
      </c>
      <c r="C1671" s="16">
        <v>325.75</v>
      </c>
      <c r="D1671" s="11">
        <v>239</v>
      </c>
      <c r="E1671" s="7">
        <f t="shared" si="80"/>
        <v>1</v>
      </c>
      <c r="F1671" s="22" t="str">
        <f>IF(ISERROR(VLOOKUP($A1671,#REF!,3,0)),"x",VLOOKUP($A1671,#REF!,3,FALSE))</f>
        <v>x</v>
      </c>
      <c r="G1671" s="9">
        <f t="shared" si="81"/>
        <v>1</v>
      </c>
      <c r="H1671" s="13">
        <f t="shared" si="82"/>
        <v>325.75</v>
      </c>
    </row>
    <row r="1672" spans="1:8" x14ac:dyDescent="0.25">
      <c r="A1672" s="2" t="str">
        <f>"PASUP70A-1WW-0"</f>
        <v>PASUP70A-1WW-0</v>
      </c>
      <c r="B1672" s="2" t="str">
        <f>"PAS UP Bodeneinbauleuchte, LED 1W, 3000K, 70x70mm, kpl. aus Edelstahl"</f>
        <v>PAS UP Bodeneinbauleuchte, LED 1W, 3000K, 70x70mm, kpl. aus Edelstahl</v>
      </c>
      <c r="C1672" s="16">
        <v>417</v>
      </c>
      <c r="D1672" s="11">
        <v>239</v>
      </c>
      <c r="E1672" s="7">
        <f t="shared" si="80"/>
        <v>1</v>
      </c>
      <c r="F1672" s="22" t="str">
        <f>IF(ISERROR(VLOOKUP($A1672,#REF!,3,0)),"x",VLOOKUP($A1672,#REF!,3,FALSE))</f>
        <v>x</v>
      </c>
      <c r="G1672" s="9">
        <f t="shared" si="81"/>
        <v>1</v>
      </c>
      <c r="H1672" s="13">
        <f t="shared" si="82"/>
        <v>417</v>
      </c>
    </row>
    <row r="1673" spans="1:8" x14ac:dyDescent="0.25">
      <c r="A1673" s="2" t="str">
        <f>"PASUP70A-3NW"</f>
        <v>PASUP70A-3NW</v>
      </c>
      <c r="B1673" s="2" t="str">
        <f>"PAS UP Bodeneinbauleuchte, LED 3W, 4000K 70x70mm Gehäuse Alu, Abdeckg Edelstahl"</f>
        <v>PAS UP Bodeneinbauleuchte, LED 3W, 4000K 70x70mm Gehäuse Alu, Abdeckg Edelstahl</v>
      </c>
      <c r="C1673" s="16">
        <v>333</v>
      </c>
      <c r="D1673" s="11">
        <v>239</v>
      </c>
      <c r="E1673" s="7">
        <f t="shared" si="80"/>
        <v>1</v>
      </c>
      <c r="F1673" s="22" t="str">
        <f>IF(ISERROR(VLOOKUP($A1673,#REF!,3,0)),"x",VLOOKUP($A1673,#REF!,3,FALSE))</f>
        <v>x</v>
      </c>
      <c r="G1673" s="9">
        <f t="shared" si="81"/>
        <v>1</v>
      </c>
      <c r="H1673" s="13">
        <f t="shared" si="82"/>
        <v>333</v>
      </c>
    </row>
    <row r="1674" spans="1:8" x14ac:dyDescent="0.25">
      <c r="A1674" s="2" t="str">
        <f>"PASUP70A-3NW-0"</f>
        <v>PASUP70A-3NW-0</v>
      </c>
      <c r="B1674" s="2" t="str">
        <f>"PAS UP Bodeneinbauleuchte, LED 3W, 4000K, 70x70mm, kpl. aus Edelstahl"</f>
        <v>PAS UP Bodeneinbauleuchte, LED 3W, 4000K, 70x70mm, kpl. aus Edelstahl</v>
      </c>
      <c r="C1674" s="16">
        <v>422.25</v>
      </c>
      <c r="D1674" s="11">
        <v>239</v>
      </c>
      <c r="E1674" s="7">
        <f t="shared" si="80"/>
        <v>1</v>
      </c>
      <c r="F1674" s="22" t="str">
        <f>IF(ISERROR(VLOOKUP($A1674,#REF!,3,0)),"x",VLOOKUP($A1674,#REF!,3,FALSE))</f>
        <v>x</v>
      </c>
      <c r="G1674" s="9">
        <f t="shared" si="81"/>
        <v>1</v>
      </c>
      <c r="H1674" s="13">
        <f t="shared" si="82"/>
        <v>422.25</v>
      </c>
    </row>
    <row r="1675" spans="1:8" x14ac:dyDescent="0.25">
      <c r="A1675" s="2" t="str">
        <f>"PASUP70A-3WW"</f>
        <v>PASUP70A-3WW</v>
      </c>
      <c r="B1675" s="2" t="str">
        <f>"PAS UP Bodeneinbauleuchte, LED 3W 3000K, 70x70mm Gehäuse Alu, Abdeckg Edelstahl"</f>
        <v>PAS UP Bodeneinbauleuchte, LED 3W 3000K, 70x70mm Gehäuse Alu, Abdeckg Edelstahl</v>
      </c>
      <c r="C1675" s="16">
        <v>333</v>
      </c>
      <c r="D1675" s="11">
        <v>239</v>
      </c>
      <c r="E1675" s="7">
        <f t="shared" si="80"/>
        <v>1</v>
      </c>
      <c r="F1675" s="22" t="str">
        <f>IF(ISERROR(VLOOKUP($A1675,#REF!,3,0)),"x",VLOOKUP($A1675,#REF!,3,FALSE))</f>
        <v>x</v>
      </c>
      <c r="G1675" s="9">
        <f t="shared" si="81"/>
        <v>1</v>
      </c>
      <c r="H1675" s="13">
        <f t="shared" si="82"/>
        <v>333</v>
      </c>
    </row>
    <row r="1676" spans="1:8" x14ac:dyDescent="0.25">
      <c r="A1676" s="2" t="str">
        <f>"PASUP70A-3WW-0"</f>
        <v>PASUP70A-3WW-0</v>
      </c>
      <c r="B1676" s="2" t="str">
        <f>"PAS UP Bodeneinbauleuchte, LED 3W, 3000K, 70x70mm, kpl. aus Edelstahl"</f>
        <v>PAS UP Bodeneinbauleuchte, LED 3W, 3000K, 70x70mm, kpl. aus Edelstahl</v>
      </c>
      <c r="C1676" s="16">
        <v>422.25</v>
      </c>
      <c r="D1676" s="11">
        <v>239</v>
      </c>
      <c r="E1676" s="7">
        <f t="shared" si="80"/>
        <v>1</v>
      </c>
      <c r="F1676" s="22" t="str">
        <f>IF(ISERROR(VLOOKUP($A1676,#REF!,3,0)),"x",VLOOKUP($A1676,#REF!,3,FALSE))</f>
        <v>x</v>
      </c>
      <c r="G1676" s="9">
        <f t="shared" si="81"/>
        <v>1</v>
      </c>
      <c r="H1676" s="13">
        <f t="shared" si="82"/>
        <v>422.25</v>
      </c>
    </row>
    <row r="1677" spans="1:8" x14ac:dyDescent="0.25">
      <c r="A1677" s="2" t="str">
        <f>"PASUP70R-1NW"</f>
        <v>PASUP70R-1NW</v>
      </c>
      <c r="B1677" s="2" t="str">
        <f>"PAS UP Bodeneinbauleuchte, LED 1W, 4000K, Ø70mm, Gehäuse Alu, Abdeckg Edelstahl"</f>
        <v>PAS UP Bodeneinbauleuchte, LED 1W, 4000K, Ø70mm, Gehäuse Alu, Abdeckg Edelstahl</v>
      </c>
      <c r="C1677" s="16">
        <v>315.25</v>
      </c>
      <c r="D1677" s="11">
        <v>239</v>
      </c>
      <c r="E1677" s="7">
        <f t="shared" si="80"/>
        <v>1</v>
      </c>
      <c r="F1677" s="22" t="str">
        <f>IF(ISERROR(VLOOKUP($A1677,#REF!,3,0)),"x",VLOOKUP($A1677,#REF!,3,FALSE))</f>
        <v>x</v>
      </c>
      <c r="G1677" s="9">
        <f t="shared" si="81"/>
        <v>1</v>
      </c>
      <c r="H1677" s="13">
        <f t="shared" si="82"/>
        <v>315.25</v>
      </c>
    </row>
    <row r="1678" spans="1:8" x14ac:dyDescent="0.25">
      <c r="A1678" s="2" t="str">
        <f>"PASUP70R-1NW-0"</f>
        <v>PASUP70R-1NW-0</v>
      </c>
      <c r="B1678" s="2" t="str">
        <f>"PAS UP Bodeneinbauleuchte, LED 1W, 4000K, Ø70mm, kpl. aus Edelstahl"</f>
        <v>PAS UP Bodeneinbauleuchte, LED 1W, 4000K, Ø70mm, kpl. aus Edelstahl</v>
      </c>
      <c r="C1678" s="16">
        <v>404.5</v>
      </c>
      <c r="D1678" s="11">
        <v>239</v>
      </c>
      <c r="E1678" s="7">
        <f t="shared" si="80"/>
        <v>1</v>
      </c>
      <c r="F1678" s="22" t="str">
        <f>IF(ISERROR(VLOOKUP($A1678,#REF!,3,0)),"x",VLOOKUP($A1678,#REF!,3,FALSE))</f>
        <v>x</v>
      </c>
      <c r="G1678" s="9">
        <f t="shared" si="81"/>
        <v>1</v>
      </c>
      <c r="H1678" s="13">
        <f t="shared" si="82"/>
        <v>404.5</v>
      </c>
    </row>
    <row r="1679" spans="1:8" x14ac:dyDescent="0.25">
      <c r="A1679" s="2" t="str">
        <f>"PASUP70R-1WW"</f>
        <v>PASUP70R-1WW</v>
      </c>
      <c r="B1679" s="2" t="str">
        <f>"PAS UP Bodeneinbauleuchte, LED 1W, 3000K, Ø70mm, Gehäuse Alu, Abdeckg Edelstahl"</f>
        <v>PAS UP Bodeneinbauleuchte, LED 1W, 3000K, Ø70mm, Gehäuse Alu, Abdeckg Edelstahl</v>
      </c>
      <c r="C1679" s="16">
        <v>315.25</v>
      </c>
      <c r="D1679" s="11">
        <v>239</v>
      </c>
      <c r="E1679" s="7">
        <f t="shared" si="80"/>
        <v>1</v>
      </c>
      <c r="F1679" s="22" t="str">
        <f>IF(ISERROR(VLOOKUP($A1679,#REF!,3,0)),"x",VLOOKUP($A1679,#REF!,3,FALSE))</f>
        <v>x</v>
      </c>
      <c r="G1679" s="9">
        <f t="shared" si="81"/>
        <v>1</v>
      </c>
      <c r="H1679" s="13">
        <f t="shared" si="82"/>
        <v>315.25</v>
      </c>
    </row>
    <row r="1680" spans="1:8" x14ac:dyDescent="0.25">
      <c r="A1680" s="2" t="str">
        <f>"PASUP70R-1WW-0"</f>
        <v>PASUP70R-1WW-0</v>
      </c>
      <c r="B1680" s="2" t="str">
        <f>"PAS UP Bodeneinbauleuchte, LED 1W, 3000K, Ø70mm, kpl. aus Edelstahl"</f>
        <v>PAS UP Bodeneinbauleuchte, LED 1W, 3000K, Ø70mm, kpl. aus Edelstahl</v>
      </c>
      <c r="C1680" s="16">
        <v>404.5</v>
      </c>
      <c r="D1680" s="11">
        <v>239</v>
      </c>
      <c r="E1680" s="7">
        <f t="shared" si="80"/>
        <v>1</v>
      </c>
      <c r="F1680" s="22" t="str">
        <f>IF(ISERROR(VLOOKUP($A1680,#REF!,3,0)),"x",VLOOKUP($A1680,#REF!,3,FALSE))</f>
        <v>x</v>
      </c>
      <c r="G1680" s="9">
        <f t="shared" si="81"/>
        <v>1</v>
      </c>
      <c r="H1680" s="13">
        <f t="shared" si="82"/>
        <v>404.5</v>
      </c>
    </row>
    <row r="1681" spans="1:8" x14ac:dyDescent="0.25">
      <c r="A1681" s="2" t="str">
        <f>"PASUP70R-3NW"</f>
        <v>PASUP70R-3NW</v>
      </c>
      <c r="B1681" s="2" t="str">
        <f>"PAS UP Bodeneinbauleuchte, LED 3W, 4000K, Ø70mm Gehäuse Alu, Abdeckung Edelstahl"</f>
        <v>PAS UP Bodeneinbauleuchte, LED 3W, 4000K, Ø70mm Gehäuse Alu, Abdeckung Edelstahl</v>
      </c>
      <c r="C1681" s="16">
        <v>323.25</v>
      </c>
      <c r="D1681" s="11">
        <v>239</v>
      </c>
      <c r="E1681" s="7">
        <f t="shared" si="80"/>
        <v>1</v>
      </c>
      <c r="F1681" s="22" t="str">
        <f>IF(ISERROR(VLOOKUP($A1681,#REF!,3,0)),"x",VLOOKUP($A1681,#REF!,3,FALSE))</f>
        <v>x</v>
      </c>
      <c r="G1681" s="9">
        <f t="shared" si="81"/>
        <v>1</v>
      </c>
      <c r="H1681" s="13">
        <f t="shared" si="82"/>
        <v>323.25</v>
      </c>
    </row>
    <row r="1682" spans="1:8" x14ac:dyDescent="0.25">
      <c r="A1682" s="2" t="str">
        <f>"PASUP70R-3NW-0"</f>
        <v>PASUP70R-3NW-0</v>
      </c>
      <c r="B1682" s="2" t="str">
        <f>"PAS UP Bodeneinbauleuchte, LED 3W, 4000K, Ø70mm, kpl. aus Edelstahl"</f>
        <v>PAS UP Bodeneinbauleuchte, LED 3W, 4000K, Ø70mm, kpl. aus Edelstahl</v>
      </c>
      <c r="C1682" s="16">
        <v>412.75</v>
      </c>
      <c r="D1682" s="11">
        <v>239</v>
      </c>
      <c r="E1682" s="7">
        <f t="shared" si="80"/>
        <v>1</v>
      </c>
      <c r="F1682" s="22" t="str">
        <f>IF(ISERROR(VLOOKUP($A1682,#REF!,3,0)),"x",VLOOKUP($A1682,#REF!,3,FALSE))</f>
        <v>x</v>
      </c>
      <c r="G1682" s="9">
        <f t="shared" si="81"/>
        <v>1</v>
      </c>
      <c r="H1682" s="13">
        <f t="shared" si="82"/>
        <v>412.75</v>
      </c>
    </row>
    <row r="1683" spans="1:8" x14ac:dyDescent="0.25">
      <c r="A1683" s="2" t="str">
        <f>"PASUP70R-3WW"</f>
        <v>PASUP70R-3WW</v>
      </c>
      <c r="B1683" s="2" t="str">
        <f>"PAS UP Bodeneinbauleuchte, LED 3W, 3000K, Ø70mm Gehäuse Alu, Abdeckg Edelstahl"</f>
        <v>PAS UP Bodeneinbauleuchte, LED 3W, 3000K, Ø70mm Gehäuse Alu, Abdeckg Edelstahl</v>
      </c>
      <c r="C1683" s="16">
        <v>323.25</v>
      </c>
      <c r="D1683" s="11">
        <v>239</v>
      </c>
      <c r="E1683" s="7">
        <f t="shared" si="80"/>
        <v>1</v>
      </c>
      <c r="F1683" s="22" t="str">
        <f>IF(ISERROR(VLOOKUP($A1683,#REF!,3,0)),"x",VLOOKUP($A1683,#REF!,3,FALSE))</f>
        <v>x</v>
      </c>
      <c r="G1683" s="9">
        <f t="shared" si="81"/>
        <v>1</v>
      </c>
      <c r="H1683" s="13">
        <f t="shared" si="82"/>
        <v>323.25</v>
      </c>
    </row>
    <row r="1684" spans="1:8" x14ac:dyDescent="0.25">
      <c r="A1684" s="2" t="str">
        <f>"PASUP70R-3WW-0"</f>
        <v>PASUP70R-3WW-0</v>
      </c>
      <c r="B1684" s="2" t="str">
        <f>"PAS UP Bodeneinbauleuchte, LED 3W, 3000K, Ø70mm, kpl. aus Edelstahl"</f>
        <v>PAS UP Bodeneinbauleuchte, LED 3W, 3000K, Ø70mm, kpl. aus Edelstahl</v>
      </c>
      <c r="C1684" s="16">
        <v>412.75</v>
      </c>
      <c r="D1684" s="11">
        <v>239</v>
      </c>
      <c r="E1684" s="7">
        <f t="shared" si="80"/>
        <v>1</v>
      </c>
      <c r="F1684" s="22" t="str">
        <f>IF(ISERROR(VLOOKUP($A1684,#REF!,3,0)),"x",VLOOKUP($A1684,#REF!,3,FALSE))</f>
        <v>x</v>
      </c>
      <c r="G1684" s="9">
        <f t="shared" si="81"/>
        <v>1</v>
      </c>
      <c r="H1684" s="13">
        <f t="shared" si="82"/>
        <v>412.75</v>
      </c>
    </row>
    <row r="1685" spans="1:8" x14ac:dyDescent="0.25">
      <c r="A1685" s="2" t="str">
        <f>"PEA-10-5"</f>
        <v>PEA-10-5</v>
      </c>
      <c r="B1685" s="2" t="str">
        <f>"Profil Ecke Außen Aluprofil eloxiert L=3020mm"</f>
        <v>Profil Ecke Außen Aluprofil eloxiert L=3020mm</v>
      </c>
      <c r="C1685" s="16">
        <v>47</v>
      </c>
      <c r="D1685" s="11">
        <v>220</v>
      </c>
      <c r="E1685" s="7">
        <f t="shared" si="80"/>
        <v>1</v>
      </c>
      <c r="F1685" s="22" t="str">
        <f>IF(ISERROR(VLOOKUP($A1685,#REF!,3,0)),"x",VLOOKUP($A1685,#REF!,3,FALSE))</f>
        <v>x</v>
      </c>
      <c r="G1685" s="9">
        <f t="shared" si="81"/>
        <v>1</v>
      </c>
      <c r="H1685" s="13">
        <f t="shared" si="82"/>
        <v>47</v>
      </c>
    </row>
    <row r="1686" spans="1:8" x14ac:dyDescent="0.25">
      <c r="A1686" s="2" t="str">
        <f>"PEA-12-5"</f>
        <v>PEA-12-5</v>
      </c>
      <c r="B1686" s="2" t="str">
        <f>"Profil Ecke Außen, Aluprofil eloxiert L=3020mm"</f>
        <v>Profil Ecke Außen, Aluprofil eloxiert L=3020mm</v>
      </c>
      <c r="C1686" s="16">
        <v>52.25</v>
      </c>
      <c r="D1686" s="11">
        <v>220</v>
      </c>
      <c r="E1686" s="7">
        <f t="shared" si="80"/>
        <v>1</v>
      </c>
      <c r="F1686" s="22" t="str">
        <f>IF(ISERROR(VLOOKUP($A1686,#REF!,3,0)),"x",VLOOKUP($A1686,#REF!,3,FALSE))</f>
        <v>x</v>
      </c>
      <c r="G1686" s="9">
        <f t="shared" si="81"/>
        <v>1</v>
      </c>
      <c r="H1686" s="13">
        <f t="shared" si="82"/>
        <v>52.25</v>
      </c>
    </row>
    <row r="1687" spans="1:8" x14ac:dyDescent="0.25">
      <c r="A1687" s="2" t="str">
        <f>"PEI-10-5"</f>
        <v>PEI-10-5</v>
      </c>
      <c r="B1687" s="2" t="str">
        <f>"Profil Ecke Innen Aluprofil eloxiert L=3020mm"</f>
        <v>Profil Ecke Innen Aluprofil eloxiert L=3020mm</v>
      </c>
      <c r="C1687" s="16">
        <v>62.75</v>
      </c>
      <c r="D1687" s="11">
        <v>221</v>
      </c>
      <c r="E1687" s="7">
        <f t="shared" si="80"/>
        <v>1</v>
      </c>
      <c r="F1687" s="22" t="str">
        <f>IF(ISERROR(VLOOKUP($A1687,#REF!,3,0)),"x",VLOOKUP($A1687,#REF!,3,FALSE))</f>
        <v>x</v>
      </c>
      <c r="G1687" s="9">
        <f t="shared" si="81"/>
        <v>1</v>
      </c>
      <c r="H1687" s="13">
        <f t="shared" si="82"/>
        <v>62.75</v>
      </c>
    </row>
    <row r="1688" spans="1:8" x14ac:dyDescent="0.25">
      <c r="A1688" s="2" t="str">
        <f>"PEI-12-5"</f>
        <v>PEI-12-5</v>
      </c>
      <c r="B1688" s="2" t="str">
        <f>"Profil Ecke Innen Aluprofil eloxiert L=3020mm"</f>
        <v>Profil Ecke Innen Aluprofil eloxiert L=3020mm</v>
      </c>
      <c r="C1688" s="16">
        <v>70.5</v>
      </c>
      <c r="D1688" s="11">
        <v>221</v>
      </c>
      <c r="E1688" s="7">
        <f t="shared" si="80"/>
        <v>1</v>
      </c>
      <c r="F1688" s="22" t="str">
        <f>IF(ISERROR(VLOOKUP($A1688,#REF!,3,0)),"x",VLOOKUP($A1688,#REF!,3,FALSE))</f>
        <v>x</v>
      </c>
      <c r="G1688" s="9">
        <f t="shared" si="81"/>
        <v>1</v>
      </c>
      <c r="H1688" s="13">
        <f t="shared" si="82"/>
        <v>70.5</v>
      </c>
    </row>
    <row r="1689" spans="1:8" x14ac:dyDescent="0.25">
      <c r="A1689" s="2" t="str">
        <f>"PEK-10-5"</f>
        <v>PEK-10-5</v>
      </c>
      <c r="B1689" s="2" t="str">
        <f>"Abdeckung Fliesen Profil 10mm"</f>
        <v>Abdeckung Fliesen Profil 10mm</v>
      </c>
      <c r="C1689" s="16">
        <v>17.5</v>
      </c>
      <c r="D1689" s="11">
        <v>220</v>
      </c>
      <c r="E1689" s="7">
        <f t="shared" si="80"/>
        <v>1</v>
      </c>
      <c r="F1689" s="22" t="str">
        <f>IF(ISERROR(VLOOKUP($A1689,#REF!,3,0)),"x",VLOOKUP($A1689,#REF!,3,FALSE))</f>
        <v>x</v>
      </c>
      <c r="G1689" s="9">
        <f t="shared" si="81"/>
        <v>1</v>
      </c>
      <c r="H1689" s="13">
        <f t="shared" si="82"/>
        <v>17.5</v>
      </c>
    </row>
    <row r="1690" spans="1:8" x14ac:dyDescent="0.25">
      <c r="A1690" s="2" t="str">
        <f>"PEK-12-5"</f>
        <v>PEK-12-5</v>
      </c>
      <c r="B1690" s="2" t="str">
        <f>"Abdeckung Fliesen Profil 12mm"</f>
        <v>Abdeckung Fliesen Profil 12mm</v>
      </c>
      <c r="C1690" s="16">
        <v>17.5</v>
      </c>
      <c r="D1690" s="11">
        <v>220</v>
      </c>
      <c r="E1690" s="7">
        <f t="shared" si="80"/>
        <v>1</v>
      </c>
      <c r="F1690" s="22" t="str">
        <f>IF(ISERROR(VLOOKUP($A1690,#REF!,3,0)),"x",VLOOKUP($A1690,#REF!,3,FALSE))</f>
        <v>x</v>
      </c>
      <c r="G1690" s="9">
        <f t="shared" si="81"/>
        <v>1</v>
      </c>
      <c r="H1690" s="13">
        <f t="shared" si="82"/>
        <v>17.5</v>
      </c>
    </row>
    <row r="1691" spans="1:8" x14ac:dyDescent="0.25">
      <c r="A1691" s="2" t="str">
        <f>"PEP-11SW2"</f>
        <v>PEP-11SW2</v>
      </c>
      <c r="B1691" s="2" t="str">
        <f>"PEP LED Lichteinsatz, 11W, 2700K, schwarz"</f>
        <v>PEP LED Lichteinsatz, 11W, 2700K, schwarz</v>
      </c>
      <c r="C1691" s="16">
        <v>80</v>
      </c>
      <c r="D1691" s="11">
        <v>103</v>
      </c>
      <c r="E1691" s="7">
        <f t="shared" si="80"/>
        <v>1</v>
      </c>
      <c r="F1691" s="22" t="str">
        <f>IF(ISERROR(VLOOKUP($A1691,#REF!,3,0)),"x",VLOOKUP($A1691,#REF!,3,FALSE))</f>
        <v>x</v>
      </c>
      <c r="G1691" s="9">
        <f t="shared" si="81"/>
        <v>1</v>
      </c>
      <c r="H1691" s="13">
        <f t="shared" si="82"/>
        <v>80</v>
      </c>
    </row>
    <row r="1692" spans="1:8" x14ac:dyDescent="0.25">
      <c r="A1692" s="2" t="str">
        <f>"PEP-11SW2DD"</f>
        <v>PEP-11SW2DD</v>
      </c>
      <c r="B1692" s="2" t="str">
        <f>"PEP LED Lichteinsatz, 11W, 2700K, DALI, schwarz"</f>
        <v>PEP LED Lichteinsatz, 11W, 2700K, DALI, schwarz</v>
      </c>
      <c r="C1692" s="16">
        <v>185</v>
      </c>
      <c r="D1692" s="11">
        <v>103</v>
      </c>
      <c r="E1692" s="7">
        <f t="shared" si="80"/>
        <v>1</v>
      </c>
      <c r="F1692" s="22" t="str">
        <f>IF(ISERROR(VLOOKUP($A1692,#REF!,3,0)),"x",VLOOKUP($A1692,#REF!,3,FALSE))</f>
        <v>x</v>
      </c>
      <c r="G1692" s="9">
        <f t="shared" si="81"/>
        <v>1</v>
      </c>
      <c r="H1692" s="13">
        <f t="shared" si="82"/>
        <v>185</v>
      </c>
    </row>
    <row r="1693" spans="1:8" x14ac:dyDescent="0.25">
      <c r="A1693" s="2" t="str">
        <f>"PEP-11WW2"</f>
        <v>PEP-11WW2</v>
      </c>
      <c r="B1693" s="2" t="str">
        <f>"PEP LED Lichteinsatz, 11W, 3000K, schwarz"</f>
        <v>PEP LED Lichteinsatz, 11W, 3000K, schwarz</v>
      </c>
      <c r="C1693" s="16">
        <v>80</v>
      </c>
      <c r="D1693" s="11">
        <v>103</v>
      </c>
      <c r="E1693" s="7">
        <f t="shared" si="80"/>
        <v>1</v>
      </c>
      <c r="F1693" s="22" t="str">
        <f>IF(ISERROR(VLOOKUP($A1693,#REF!,3,0)),"x",VLOOKUP($A1693,#REF!,3,FALSE))</f>
        <v>x</v>
      </c>
      <c r="G1693" s="9">
        <f t="shared" si="81"/>
        <v>1</v>
      </c>
      <c r="H1693" s="13">
        <f t="shared" si="82"/>
        <v>80</v>
      </c>
    </row>
    <row r="1694" spans="1:8" x14ac:dyDescent="0.25">
      <c r="A1694" s="2" t="str">
        <f>"PEP-11WW2DD"</f>
        <v>PEP-11WW2DD</v>
      </c>
      <c r="B1694" s="2" t="str">
        <f>"PEP LED Lichteinsatz, 11W, 3000K, DALI, schwarz"</f>
        <v>PEP LED Lichteinsatz, 11W, 3000K, DALI, schwarz</v>
      </c>
      <c r="C1694" s="16">
        <v>185</v>
      </c>
      <c r="D1694" s="11">
        <v>103</v>
      </c>
      <c r="E1694" s="7">
        <f t="shared" si="80"/>
        <v>1</v>
      </c>
      <c r="F1694" s="22" t="str">
        <f>IF(ISERROR(VLOOKUP($A1694,#REF!,3,0)),"x",VLOOKUP($A1694,#REF!,3,FALSE))</f>
        <v>x</v>
      </c>
      <c r="G1694" s="9">
        <f t="shared" si="81"/>
        <v>1</v>
      </c>
      <c r="H1694" s="13">
        <f t="shared" si="82"/>
        <v>185</v>
      </c>
    </row>
    <row r="1695" spans="1:8" x14ac:dyDescent="0.25">
      <c r="A1695" s="2" t="str">
        <f>"PEP-12SW2"</f>
        <v>PEP-12SW2</v>
      </c>
      <c r="B1695" s="2" t="str">
        <f>"PEP LED Lichteinsatz, 12W, 2700K, schwarz"</f>
        <v>PEP LED Lichteinsatz, 12W, 2700K, schwarz</v>
      </c>
      <c r="C1695" s="16">
        <v>105</v>
      </c>
      <c r="D1695" s="11">
        <v>102</v>
      </c>
      <c r="E1695" s="7">
        <f t="shared" si="80"/>
        <v>1</v>
      </c>
      <c r="F1695" s="22" t="str">
        <f>IF(ISERROR(VLOOKUP($A1695,#REF!,3,0)),"x",VLOOKUP($A1695,#REF!,3,FALSE))</f>
        <v>x</v>
      </c>
      <c r="G1695" s="9">
        <f t="shared" si="81"/>
        <v>1</v>
      </c>
      <c r="H1695" s="13">
        <f t="shared" si="82"/>
        <v>105</v>
      </c>
    </row>
    <row r="1696" spans="1:8" x14ac:dyDescent="0.25">
      <c r="A1696" s="2" t="str">
        <f>"PEP-12SW2DD"</f>
        <v>PEP-12SW2DD</v>
      </c>
      <c r="B1696" s="2" t="str">
        <f>"PEP LED Lichteinsatz, 12W, 2700K, DALI, schwarz"</f>
        <v>PEP LED Lichteinsatz, 12W, 2700K, DALI, schwarz</v>
      </c>
      <c r="C1696" s="16">
        <v>202.5</v>
      </c>
      <c r="D1696" s="11">
        <v>102</v>
      </c>
      <c r="E1696" s="7">
        <f t="shared" si="80"/>
        <v>1</v>
      </c>
      <c r="F1696" s="22" t="str">
        <f>IF(ISERROR(VLOOKUP($A1696,#REF!,3,0)),"x",VLOOKUP($A1696,#REF!,3,FALSE))</f>
        <v>x</v>
      </c>
      <c r="G1696" s="9">
        <f t="shared" si="81"/>
        <v>1</v>
      </c>
      <c r="H1696" s="13">
        <f t="shared" si="82"/>
        <v>202.5</v>
      </c>
    </row>
    <row r="1697" spans="1:8" x14ac:dyDescent="0.25">
      <c r="A1697" s="2" t="str">
        <f>"PEP-12WW2"</f>
        <v>PEP-12WW2</v>
      </c>
      <c r="B1697" s="2" t="str">
        <f>"PEP LED Lichteinsatz, 12W, 3000K, schwarz"</f>
        <v>PEP LED Lichteinsatz, 12W, 3000K, schwarz</v>
      </c>
      <c r="C1697" s="16">
        <v>105</v>
      </c>
      <c r="D1697" s="11">
        <v>102</v>
      </c>
      <c r="E1697" s="7">
        <f t="shared" si="80"/>
        <v>1</v>
      </c>
      <c r="F1697" s="22" t="str">
        <f>IF(ISERROR(VLOOKUP($A1697,#REF!,3,0)),"x",VLOOKUP($A1697,#REF!,3,FALSE))</f>
        <v>x</v>
      </c>
      <c r="G1697" s="9">
        <f t="shared" si="81"/>
        <v>1</v>
      </c>
      <c r="H1697" s="13">
        <f t="shared" si="82"/>
        <v>105</v>
      </c>
    </row>
    <row r="1698" spans="1:8" x14ac:dyDescent="0.25">
      <c r="A1698" s="2" t="str">
        <f>"PEP-12WW2DD"</f>
        <v>PEP-12WW2DD</v>
      </c>
      <c r="B1698" s="2" t="str">
        <f>"PEP LED Lichteinsatz, 12W, 3000K, DALI, schwarz"</f>
        <v>PEP LED Lichteinsatz, 12W, 3000K, DALI, schwarz</v>
      </c>
      <c r="C1698" s="16">
        <v>202.5</v>
      </c>
      <c r="D1698" s="11">
        <v>102</v>
      </c>
      <c r="E1698" s="7">
        <f t="shared" si="80"/>
        <v>1</v>
      </c>
      <c r="F1698" s="22" t="str">
        <f>IF(ISERROR(VLOOKUP($A1698,#REF!,3,0)),"x",VLOOKUP($A1698,#REF!,3,FALSE))</f>
        <v>x</v>
      </c>
      <c r="G1698" s="9">
        <f t="shared" si="81"/>
        <v>1</v>
      </c>
      <c r="H1698" s="13">
        <f t="shared" si="82"/>
        <v>202.5</v>
      </c>
    </row>
    <row r="1699" spans="1:8" x14ac:dyDescent="0.25">
      <c r="A1699" s="2" t="str">
        <f>"PEP-14SW12"</f>
        <v>PEP-14SW12</v>
      </c>
      <c r="B1699" s="2" t="str">
        <f>"PEP LED Schienenstrahler, 14W, 2700K, schwarz"</f>
        <v>PEP LED Schienenstrahler, 14W, 2700K, schwarz</v>
      </c>
      <c r="C1699" s="16">
        <v>80</v>
      </c>
      <c r="D1699" s="11">
        <v>98</v>
      </c>
      <c r="E1699" s="7">
        <f t="shared" si="80"/>
        <v>1</v>
      </c>
      <c r="F1699" s="22" t="str">
        <f>IF(ISERROR(VLOOKUP($A1699,#REF!,3,0)),"x",VLOOKUP($A1699,#REF!,3,FALSE))</f>
        <v>x</v>
      </c>
      <c r="G1699" s="9">
        <f t="shared" si="81"/>
        <v>1</v>
      </c>
      <c r="H1699" s="13">
        <f t="shared" si="82"/>
        <v>80</v>
      </c>
    </row>
    <row r="1700" spans="1:8" x14ac:dyDescent="0.25">
      <c r="A1700" s="2" t="str">
        <f>"PEP-14SW12-1"</f>
        <v>PEP-14SW12-1</v>
      </c>
      <c r="B1700" s="2" t="str">
        <f>"PEP LED Schienenstrahler, 14W, 2700K, schwarz/weiß"</f>
        <v>PEP LED Schienenstrahler, 14W, 2700K, schwarz/weiß</v>
      </c>
      <c r="C1700" s="16">
        <v>80</v>
      </c>
      <c r="D1700" s="11">
        <v>98</v>
      </c>
      <c r="E1700" s="7">
        <f t="shared" si="80"/>
        <v>1</v>
      </c>
      <c r="F1700" s="22" t="str">
        <f>IF(ISERROR(VLOOKUP($A1700,#REF!,3,0)),"x",VLOOKUP($A1700,#REF!,3,FALSE))</f>
        <v>x</v>
      </c>
      <c r="G1700" s="9">
        <f t="shared" si="81"/>
        <v>1</v>
      </c>
      <c r="H1700" s="13">
        <f t="shared" si="82"/>
        <v>80</v>
      </c>
    </row>
    <row r="1701" spans="1:8" x14ac:dyDescent="0.25">
      <c r="A1701" s="2" t="str">
        <f>"PEP-14SW12-1DD"</f>
        <v>PEP-14SW12-1DD</v>
      </c>
      <c r="B1701" s="2" t="str">
        <f>"PEP LED Schienenstrahler, 14W, 2700K, DALI, schwarz/weiß"</f>
        <v>PEP LED Schienenstrahler, 14W, 2700K, DALI, schwarz/weiß</v>
      </c>
      <c r="C1701" s="16">
        <v>192.5</v>
      </c>
      <c r="D1701" s="11">
        <v>98</v>
      </c>
      <c r="E1701" s="7">
        <f t="shared" si="80"/>
        <v>1</v>
      </c>
      <c r="F1701" s="22" t="str">
        <f>IF(ISERROR(VLOOKUP($A1701,#REF!,3,0)),"x",VLOOKUP($A1701,#REF!,3,FALSE))</f>
        <v>x</v>
      </c>
      <c r="G1701" s="9">
        <f t="shared" si="81"/>
        <v>1</v>
      </c>
      <c r="H1701" s="13">
        <f t="shared" si="82"/>
        <v>192.5</v>
      </c>
    </row>
    <row r="1702" spans="1:8" x14ac:dyDescent="0.25">
      <c r="A1702" s="2" t="str">
        <f>"PEP-14SW12DD"</f>
        <v>PEP-14SW12DD</v>
      </c>
      <c r="B1702" s="2" t="str">
        <f>"PEP LED Schienenstrahler, 14W, 2700K, DALI, schwarz"</f>
        <v>PEP LED Schienenstrahler, 14W, 2700K, DALI, schwarz</v>
      </c>
      <c r="C1702" s="16">
        <v>192.5</v>
      </c>
      <c r="D1702" s="11">
        <v>98</v>
      </c>
      <c r="E1702" s="7">
        <f t="shared" si="80"/>
        <v>1</v>
      </c>
      <c r="F1702" s="22" t="str">
        <f>IF(ISERROR(VLOOKUP($A1702,#REF!,3,0)),"x",VLOOKUP($A1702,#REF!,3,FALSE))</f>
        <v>x</v>
      </c>
      <c r="G1702" s="9">
        <f t="shared" si="81"/>
        <v>1</v>
      </c>
      <c r="H1702" s="13">
        <f t="shared" si="82"/>
        <v>192.5</v>
      </c>
    </row>
    <row r="1703" spans="1:8" x14ac:dyDescent="0.25">
      <c r="A1703" s="2" t="str">
        <f>"PEP-14WW12"</f>
        <v>PEP-14WW12</v>
      </c>
      <c r="B1703" s="2" t="str">
        <f>"PEP LED Schienenstrahler, 14W, 3000K, schwarz"</f>
        <v>PEP LED Schienenstrahler, 14W, 3000K, schwarz</v>
      </c>
      <c r="C1703" s="16">
        <v>80</v>
      </c>
      <c r="D1703" s="11">
        <v>98</v>
      </c>
      <c r="E1703" s="7">
        <f t="shared" si="80"/>
        <v>1</v>
      </c>
      <c r="F1703" s="22" t="str">
        <f>IF(ISERROR(VLOOKUP($A1703,#REF!,3,0)),"x",VLOOKUP($A1703,#REF!,3,FALSE))</f>
        <v>x</v>
      </c>
      <c r="G1703" s="9">
        <f t="shared" si="81"/>
        <v>1</v>
      </c>
      <c r="H1703" s="13">
        <f t="shared" si="82"/>
        <v>80</v>
      </c>
    </row>
    <row r="1704" spans="1:8" x14ac:dyDescent="0.25">
      <c r="A1704" s="2" t="str">
        <f>"PEP-14WW12-1"</f>
        <v>PEP-14WW12-1</v>
      </c>
      <c r="B1704" s="2" t="str">
        <f>"PEP LED Schienenstrahler, 14W, 3000K, schwarz/weiß"</f>
        <v>PEP LED Schienenstrahler, 14W, 3000K, schwarz/weiß</v>
      </c>
      <c r="C1704" s="16">
        <v>80</v>
      </c>
      <c r="D1704" s="11">
        <v>98</v>
      </c>
      <c r="E1704" s="7">
        <f t="shared" si="80"/>
        <v>1</v>
      </c>
      <c r="F1704" s="22" t="str">
        <f>IF(ISERROR(VLOOKUP($A1704,#REF!,3,0)),"x",VLOOKUP($A1704,#REF!,3,FALSE))</f>
        <v>x</v>
      </c>
      <c r="G1704" s="9">
        <f t="shared" si="81"/>
        <v>1</v>
      </c>
      <c r="H1704" s="13">
        <f t="shared" si="82"/>
        <v>80</v>
      </c>
    </row>
    <row r="1705" spans="1:8" x14ac:dyDescent="0.25">
      <c r="A1705" s="2" t="str">
        <f>"PEP-14WW12-1DD"</f>
        <v>PEP-14WW12-1DD</v>
      </c>
      <c r="B1705" s="2" t="str">
        <f>"PEP LED Schienenstrahler, 14W, 3000K, DALI, schwarz/weiß"</f>
        <v>PEP LED Schienenstrahler, 14W, 3000K, DALI, schwarz/weiß</v>
      </c>
      <c r="C1705" s="16">
        <v>192.5</v>
      </c>
      <c r="D1705" s="11">
        <v>98</v>
      </c>
      <c r="E1705" s="7">
        <f t="shared" si="80"/>
        <v>1</v>
      </c>
      <c r="F1705" s="22" t="str">
        <f>IF(ISERROR(VLOOKUP($A1705,#REF!,3,0)),"x",VLOOKUP($A1705,#REF!,3,FALSE))</f>
        <v>x</v>
      </c>
      <c r="G1705" s="9">
        <f t="shared" si="81"/>
        <v>1</v>
      </c>
      <c r="H1705" s="13">
        <f t="shared" si="82"/>
        <v>192.5</v>
      </c>
    </row>
    <row r="1706" spans="1:8" x14ac:dyDescent="0.25">
      <c r="A1706" s="2" t="str">
        <f>"PEP-14WW12DD"</f>
        <v>PEP-14WW12DD</v>
      </c>
      <c r="B1706" s="2" t="str">
        <f>"PEP LED Schienenstrahler, 14W, 3000K, DALI, schwarz"</f>
        <v>PEP LED Schienenstrahler, 14W, 3000K, DALI, schwarz</v>
      </c>
      <c r="C1706" s="16">
        <v>192.5</v>
      </c>
      <c r="D1706" s="11">
        <v>98</v>
      </c>
      <c r="E1706" s="7">
        <f t="shared" si="80"/>
        <v>1</v>
      </c>
      <c r="F1706" s="22" t="str">
        <f>IF(ISERROR(VLOOKUP($A1706,#REF!,3,0)),"x",VLOOKUP($A1706,#REF!,3,FALSE))</f>
        <v>x</v>
      </c>
      <c r="G1706" s="9">
        <f t="shared" si="81"/>
        <v>1</v>
      </c>
      <c r="H1706" s="13">
        <f t="shared" si="82"/>
        <v>192.5</v>
      </c>
    </row>
    <row r="1707" spans="1:8" x14ac:dyDescent="0.25">
      <c r="A1707" s="2" t="str">
        <f>"PEP-1500"</f>
        <v>PEP-1500</v>
      </c>
      <c r="B1707" s="2" t="str">
        <f>"PEP Stahlseilaufhängung für Aufbau, 1,5m"</f>
        <v>PEP Stahlseilaufhängung für Aufbau, 1,5m</v>
      </c>
      <c r="C1707" s="16">
        <v>22.5</v>
      </c>
      <c r="D1707" s="11">
        <v>96</v>
      </c>
      <c r="E1707" s="7">
        <f t="shared" si="80"/>
        <v>1</v>
      </c>
      <c r="F1707" s="22" t="str">
        <f>IF(ISERROR(VLOOKUP($A1707,#REF!,3,0)),"x",VLOOKUP($A1707,#REF!,3,FALSE))</f>
        <v>x</v>
      </c>
      <c r="G1707" s="9">
        <f t="shared" si="81"/>
        <v>1</v>
      </c>
      <c r="H1707" s="13">
        <f t="shared" si="82"/>
        <v>22.5</v>
      </c>
    </row>
    <row r="1708" spans="1:8" x14ac:dyDescent="0.25">
      <c r="A1708" s="2" t="str">
        <f>"PEP-18WW12"</f>
        <v>PEP-18WW12</v>
      </c>
      <c r="B1708" s="2" t="str">
        <f>"PEP LED Lichteinsatz, 18W, 3000K, Raster, schwarz"</f>
        <v>PEP LED Lichteinsatz, 18W, 3000K, Raster, schwarz</v>
      </c>
      <c r="C1708" s="16">
        <v>167.5</v>
      </c>
      <c r="D1708" s="11">
        <v>103</v>
      </c>
      <c r="E1708" s="7">
        <f t="shared" si="80"/>
        <v>1</v>
      </c>
      <c r="F1708" s="22" t="str">
        <f>IF(ISERROR(VLOOKUP($A1708,#REF!,3,0)),"x",VLOOKUP($A1708,#REF!,3,FALSE))</f>
        <v>x</v>
      </c>
      <c r="G1708" s="9">
        <f t="shared" si="81"/>
        <v>1</v>
      </c>
      <c r="H1708" s="13">
        <f t="shared" si="82"/>
        <v>167.5</v>
      </c>
    </row>
    <row r="1709" spans="1:8" x14ac:dyDescent="0.25">
      <c r="A1709" s="2" t="str">
        <f>"PEP-18WW32"</f>
        <v>PEP-18WW32</v>
      </c>
      <c r="B1709" s="2" t="str">
        <f>"PEP LED Pendelleuchte, 18W, 3000K, Raster, schwarz"</f>
        <v>PEP LED Pendelleuchte, 18W, 3000K, Raster, schwarz</v>
      </c>
      <c r="C1709" s="16">
        <v>235</v>
      </c>
      <c r="D1709" s="11">
        <v>101</v>
      </c>
      <c r="E1709" s="7">
        <f t="shared" si="80"/>
        <v>1</v>
      </c>
      <c r="F1709" s="22" t="str">
        <f>IF(ISERROR(VLOOKUP($A1709,#REF!,3,0)),"x",VLOOKUP($A1709,#REF!,3,FALSE))</f>
        <v>x</v>
      </c>
      <c r="G1709" s="9">
        <f t="shared" si="81"/>
        <v>1</v>
      </c>
      <c r="H1709" s="13">
        <f t="shared" si="82"/>
        <v>235</v>
      </c>
    </row>
    <row r="1710" spans="1:8" x14ac:dyDescent="0.25">
      <c r="A1710" s="2" t="str">
        <f>"PEP-202"</f>
        <v>PEP-202</v>
      </c>
      <c r="B1710" s="2" t="str">
        <f>"PEP Aufbauschiene 2m, schwarz"</f>
        <v>PEP Aufbauschiene 2m, schwarz</v>
      </c>
      <c r="C1710" s="16">
        <v>105</v>
      </c>
      <c r="D1710" s="11">
        <v>96</v>
      </c>
      <c r="E1710" s="7">
        <f t="shared" si="80"/>
        <v>1</v>
      </c>
      <c r="F1710" s="22" t="str">
        <f>IF(ISERROR(VLOOKUP($A1710,#REF!,3,0)),"x",VLOOKUP($A1710,#REF!,3,FALSE))</f>
        <v>x</v>
      </c>
      <c r="G1710" s="9">
        <f t="shared" si="81"/>
        <v>1</v>
      </c>
      <c r="H1710" s="13">
        <f t="shared" si="82"/>
        <v>105</v>
      </c>
    </row>
    <row r="1711" spans="1:8" x14ac:dyDescent="0.25">
      <c r="A1711" s="2" t="str">
        <f>"PEP-202C"</f>
        <v>PEP-202C</v>
      </c>
      <c r="B1711" s="2" t="str">
        <f>"PEP Abdeckung für Ein-, Aufbauschiene, 2m, schwarz"</f>
        <v>PEP Abdeckung für Ein-, Aufbauschiene, 2m, schwarz</v>
      </c>
      <c r="C1711" s="16">
        <v>7.5</v>
      </c>
      <c r="D1711" s="11">
        <v>97</v>
      </c>
      <c r="E1711" s="7">
        <f t="shared" si="80"/>
        <v>1</v>
      </c>
      <c r="F1711" s="22" t="str">
        <f>IF(ISERROR(VLOOKUP($A1711,#REF!,3,0)),"x",VLOOKUP($A1711,#REF!,3,FALSE))</f>
        <v>x</v>
      </c>
      <c r="G1711" s="9">
        <f t="shared" si="81"/>
        <v>1</v>
      </c>
      <c r="H1711" s="13">
        <f t="shared" si="82"/>
        <v>7.5</v>
      </c>
    </row>
    <row r="1712" spans="1:8" x14ac:dyDescent="0.25">
      <c r="A1712" s="2" t="str">
        <f>"PEP-262"</f>
        <v>PEP-262</v>
      </c>
      <c r="B1712" s="2" t="str">
        <f>"PEP Einbauschiene 2m, schwarz"</f>
        <v>PEP Einbauschiene 2m, schwarz</v>
      </c>
      <c r="C1712" s="16">
        <v>115</v>
      </c>
      <c r="D1712" s="11">
        <v>96</v>
      </c>
      <c r="E1712" s="7">
        <f t="shared" si="80"/>
        <v>1</v>
      </c>
      <c r="F1712" s="22" t="str">
        <f>IF(ISERROR(VLOOKUP($A1712,#REF!,3,0)),"x",VLOOKUP($A1712,#REF!,3,FALSE))</f>
        <v>x</v>
      </c>
      <c r="G1712" s="9">
        <f t="shared" si="81"/>
        <v>1</v>
      </c>
      <c r="H1712" s="13">
        <f t="shared" si="82"/>
        <v>115</v>
      </c>
    </row>
    <row r="1713" spans="1:8" x14ac:dyDescent="0.25">
      <c r="A1713" s="2" t="str">
        <f>"PEP-4SW2"</f>
        <v>PEP-4SW2</v>
      </c>
      <c r="B1713" s="2" t="str">
        <f>"PEP LED Lichteinsatz, 4,3W, 2700K, schwarz"</f>
        <v>PEP LED Lichteinsatz, 4,3W, 2700K, schwarz</v>
      </c>
      <c r="C1713" s="16">
        <v>62.5</v>
      </c>
      <c r="D1713" s="11">
        <v>102</v>
      </c>
      <c r="E1713" s="7">
        <f t="shared" si="80"/>
        <v>1</v>
      </c>
      <c r="F1713" s="22" t="str">
        <f>IF(ISERROR(VLOOKUP($A1713,#REF!,3,0)),"x",VLOOKUP($A1713,#REF!,3,FALSE))</f>
        <v>x</v>
      </c>
      <c r="G1713" s="9">
        <f t="shared" si="81"/>
        <v>1</v>
      </c>
      <c r="H1713" s="13">
        <f t="shared" si="82"/>
        <v>62.5</v>
      </c>
    </row>
    <row r="1714" spans="1:8" x14ac:dyDescent="0.25">
      <c r="A1714" s="2" t="str">
        <f>"PEP-4WW2"</f>
        <v>PEP-4WW2</v>
      </c>
      <c r="B1714" s="2" t="str">
        <f>"PEP LED Lichteinsatz, 4,3W, 3000K, schwarz"</f>
        <v>PEP LED Lichteinsatz, 4,3W, 3000K, schwarz</v>
      </c>
      <c r="C1714" s="16">
        <v>62.5</v>
      </c>
      <c r="D1714" s="11">
        <v>102</v>
      </c>
      <c r="E1714" s="7">
        <f t="shared" si="80"/>
        <v>1</v>
      </c>
      <c r="F1714" s="22" t="str">
        <f>IF(ISERROR(VLOOKUP($A1714,#REF!,3,0)),"x",VLOOKUP($A1714,#REF!,3,FALSE))</f>
        <v>x</v>
      </c>
      <c r="G1714" s="9">
        <f t="shared" si="81"/>
        <v>1</v>
      </c>
      <c r="H1714" s="13">
        <f t="shared" si="82"/>
        <v>62.5</v>
      </c>
    </row>
    <row r="1715" spans="1:8" x14ac:dyDescent="0.25">
      <c r="A1715" s="2" t="str">
        <f>"PEP-601A"</f>
        <v>PEP-601A</v>
      </c>
      <c r="B1715" s="2" t="str">
        <f>"PEP Metallverbinder, für Aufbauschiene, silber"</f>
        <v>PEP Metallverbinder, für Aufbauschiene, silber</v>
      </c>
      <c r="C1715" s="16">
        <v>2.5</v>
      </c>
      <c r="D1715" s="11">
        <v>97</v>
      </c>
      <c r="E1715" s="7">
        <f t="shared" si="80"/>
        <v>1</v>
      </c>
      <c r="F1715" s="22" t="str">
        <f>IF(ISERROR(VLOOKUP($A1715,#REF!,3,0)),"x",VLOOKUP($A1715,#REF!,3,FALSE))</f>
        <v>x</v>
      </c>
      <c r="G1715" s="9">
        <f t="shared" si="81"/>
        <v>1</v>
      </c>
      <c r="H1715" s="13">
        <f t="shared" si="82"/>
        <v>2.5</v>
      </c>
    </row>
    <row r="1716" spans="1:8" x14ac:dyDescent="0.25">
      <c r="A1716" s="2" t="str">
        <f>"PEP-601A1"</f>
        <v>PEP-601A1</v>
      </c>
      <c r="B1716" s="2" t="str">
        <f>"PEP Eckverbinder, für Einbauschiene, schwarz"</f>
        <v>PEP Eckverbinder, für Einbauschiene, schwarz</v>
      </c>
      <c r="C1716" s="16">
        <v>12.5</v>
      </c>
      <c r="D1716" s="11">
        <v>97</v>
      </c>
      <c r="E1716" s="7">
        <f t="shared" si="80"/>
        <v>1</v>
      </c>
      <c r="F1716" s="22" t="str">
        <f>IF(ISERROR(VLOOKUP($A1716,#REF!,3,0)),"x",VLOOKUP($A1716,#REF!,3,FALSE))</f>
        <v>x</v>
      </c>
      <c r="G1716" s="9">
        <f t="shared" si="81"/>
        <v>1</v>
      </c>
      <c r="H1716" s="13">
        <f t="shared" si="82"/>
        <v>12.5</v>
      </c>
    </row>
    <row r="1717" spans="1:8" x14ac:dyDescent="0.25">
      <c r="A1717" s="2" t="str">
        <f>"PEP-601A2"</f>
        <v>PEP-601A2</v>
      </c>
      <c r="B1717" s="2" t="str">
        <f>"PEP Eckverbinder, für Einbauschiene, Innenwinkel, schwarz"</f>
        <v>PEP Eckverbinder, für Einbauschiene, Innenwinkel, schwarz</v>
      </c>
      <c r="C1717" s="16">
        <v>12.5</v>
      </c>
      <c r="D1717" s="11">
        <v>97</v>
      </c>
      <c r="E1717" s="7">
        <f t="shared" si="80"/>
        <v>1</v>
      </c>
      <c r="F1717" s="22" t="str">
        <f>IF(ISERROR(VLOOKUP($A1717,#REF!,3,0)),"x",VLOOKUP($A1717,#REF!,3,FALSE))</f>
        <v>x</v>
      </c>
      <c r="G1717" s="9">
        <f t="shared" si="81"/>
        <v>1</v>
      </c>
      <c r="H1717" s="13">
        <f t="shared" si="82"/>
        <v>12.5</v>
      </c>
    </row>
    <row r="1718" spans="1:8" x14ac:dyDescent="0.25">
      <c r="A1718" s="2" t="str">
        <f>"PEP-601A3"</f>
        <v>PEP-601A3</v>
      </c>
      <c r="B1718" s="2" t="str">
        <f>"PEP Eckverbinder, für Einbauschiene, Außenwinkel, schwarz"</f>
        <v>PEP Eckverbinder, für Einbauschiene, Außenwinkel, schwarz</v>
      </c>
      <c r="C1718" s="16">
        <v>12.5</v>
      </c>
      <c r="D1718" s="11">
        <v>97</v>
      </c>
      <c r="E1718" s="7">
        <f t="shared" si="80"/>
        <v>1</v>
      </c>
      <c r="F1718" s="22" t="str">
        <f>IF(ISERROR(VLOOKUP($A1718,#REF!,3,0)),"x",VLOOKUP($A1718,#REF!,3,FALSE))</f>
        <v>x</v>
      </c>
      <c r="G1718" s="9">
        <f t="shared" si="81"/>
        <v>1</v>
      </c>
      <c r="H1718" s="13">
        <f t="shared" si="82"/>
        <v>12.5</v>
      </c>
    </row>
    <row r="1719" spans="1:8" x14ac:dyDescent="0.25">
      <c r="A1719" s="2" t="str">
        <f>"PEP-601B1"</f>
        <v>PEP-601B1</v>
      </c>
      <c r="B1719" s="2" t="str">
        <f>"PEP Eckverbinder, für Aufbauschiene, schwarz"</f>
        <v>PEP Eckverbinder, für Aufbauschiene, schwarz</v>
      </c>
      <c r="C1719" s="16">
        <v>12.5</v>
      </c>
      <c r="D1719" s="11">
        <v>97</v>
      </c>
      <c r="E1719" s="7">
        <f t="shared" si="80"/>
        <v>1</v>
      </c>
      <c r="F1719" s="22" t="str">
        <f>IF(ISERROR(VLOOKUP($A1719,#REF!,3,0)),"x",VLOOKUP($A1719,#REF!,3,FALSE))</f>
        <v>x</v>
      </c>
      <c r="G1719" s="9">
        <f t="shared" si="81"/>
        <v>1</v>
      </c>
      <c r="H1719" s="13">
        <f t="shared" si="82"/>
        <v>12.5</v>
      </c>
    </row>
    <row r="1720" spans="1:8" x14ac:dyDescent="0.25">
      <c r="A1720" s="2" t="str">
        <f>"PEP-601B2"</f>
        <v>PEP-601B2</v>
      </c>
      <c r="B1720" s="2" t="str">
        <f>"PEP Eckverbinder, für Aufbauschiene, Innenwinkel, schwarz"</f>
        <v>PEP Eckverbinder, für Aufbauschiene, Innenwinkel, schwarz</v>
      </c>
      <c r="C1720" s="16">
        <v>12.5</v>
      </c>
      <c r="D1720" s="11">
        <v>97</v>
      </c>
      <c r="E1720" s="7">
        <f t="shared" si="80"/>
        <v>1</v>
      </c>
      <c r="F1720" s="22" t="str">
        <f>IF(ISERROR(VLOOKUP($A1720,#REF!,3,0)),"x",VLOOKUP($A1720,#REF!,3,FALSE))</f>
        <v>x</v>
      </c>
      <c r="G1720" s="9">
        <f t="shared" si="81"/>
        <v>1</v>
      </c>
      <c r="H1720" s="13">
        <f t="shared" si="82"/>
        <v>12.5</v>
      </c>
    </row>
    <row r="1721" spans="1:8" x14ac:dyDescent="0.25">
      <c r="A1721" s="2" t="str">
        <f>"PEP-601B3"</f>
        <v>PEP-601B3</v>
      </c>
      <c r="B1721" s="2" t="str">
        <f>"PEP Eckverbinder, für Aufbauschiene, Außenwinkel, schwarz"</f>
        <v>PEP Eckverbinder, für Aufbauschiene, Außenwinkel, schwarz</v>
      </c>
      <c r="C1721" s="16">
        <v>12.5</v>
      </c>
      <c r="D1721" s="11">
        <v>97</v>
      </c>
      <c r="E1721" s="7">
        <f t="shared" si="80"/>
        <v>1</v>
      </c>
      <c r="F1721" s="22" t="str">
        <f>IF(ISERROR(VLOOKUP($A1721,#REF!,3,0)),"x",VLOOKUP($A1721,#REF!,3,FALSE))</f>
        <v>x</v>
      </c>
      <c r="G1721" s="9">
        <f t="shared" si="81"/>
        <v>1</v>
      </c>
      <c r="H1721" s="13">
        <f t="shared" si="82"/>
        <v>12.5</v>
      </c>
    </row>
    <row r="1722" spans="1:8" x14ac:dyDescent="0.25">
      <c r="A1722" s="2" t="str">
        <f>"PEP-602"</f>
        <v>PEP-602</v>
      </c>
      <c r="B1722" s="2" t="str">
        <f>"PEP elektr. Verbinder, DC48V, ohne Kabel, schwarz"</f>
        <v>PEP elektr. Verbinder, DC48V, ohne Kabel, schwarz</v>
      </c>
      <c r="C1722" s="16">
        <v>10</v>
      </c>
      <c r="D1722" s="11">
        <v>97</v>
      </c>
      <c r="E1722" s="7">
        <f t="shared" si="80"/>
        <v>1</v>
      </c>
      <c r="F1722" s="22" t="str">
        <f>IF(ISERROR(VLOOKUP($A1722,#REF!,3,0)),"x",VLOOKUP($A1722,#REF!,3,FALSE))</f>
        <v>x</v>
      </c>
      <c r="G1722" s="9">
        <f t="shared" si="81"/>
        <v>1</v>
      </c>
      <c r="H1722" s="13">
        <f t="shared" si="82"/>
        <v>10</v>
      </c>
    </row>
    <row r="1723" spans="1:8" x14ac:dyDescent="0.25">
      <c r="A1723" s="2" t="str">
        <f>"PEP-602A"</f>
        <v>PEP-602A</v>
      </c>
      <c r="B1723" s="2" t="str">
        <f>"PEP Einspeisekabel DC48V, 60cm, schwarz"</f>
        <v>PEP Einspeisekabel DC48V, 60cm, schwarz</v>
      </c>
      <c r="C1723" s="16">
        <v>15</v>
      </c>
      <c r="D1723" s="11">
        <v>97</v>
      </c>
      <c r="E1723" s="7">
        <f t="shared" si="80"/>
        <v>1</v>
      </c>
      <c r="F1723" s="22" t="str">
        <f>IF(ISERROR(VLOOKUP($A1723,#REF!,3,0)),"x",VLOOKUP($A1723,#REF!,3,FALSE))</f>
        <v>x</v>
      </c>
      <c r="G1723" s="9">
        <f t="shared" si="81"/>
        <v>1</v>
      </c>
      <c r="H1723" s="13">
        <f t="shared" si="82"/>
        <v>15</v>
      </c>
    </row>
    <row r="1724" spans="1:8" x14ac:dyDescent="0.25">
      <c r="A1724" s="2" t="str">
        <f>"PEP-602A1"</f>
        <v>PEP-602A1</v>
      </c>
      <c r="B1724" s="2" t="str">
        <f>"PEP Einspeisekabel DC48V, 1,5m, schwarz"</f>
        <v>PEP Einspeisekabel DC48V, 1,5m, schwarz</v>
      </c>
      <c r="C1724" s="16">
        <v>27.5</v>
      </c>
      <c r="D1724" s="11">
        <v>97</v>
      </c>
      <c r="E1724" s="7">
        <f t="shared" si="80"/>
        <v>1</v>
      </c>
      <c r="F1724" s="22" t="str">
        <f>IF(ISERROR(VLOOKUP($A1724,#REF!,3,0)),"x",VLOOKUP($A1724,#REF!,3,FALSE))</f>
        <v>x</v>
      </c>
      <c r="G1724" s="9">
        <f t="shared" si="81"/>
        <v>1</v>
      </c>
      <c r="H1724" s="13">
        <f t="shared" si="82"/>
        <v>27.5</v>
      </c>
    </row>
    <row r="1725" spans="1:8" x14ac:dyDescent="0.25">
      <c r="A1725" s="2" t="str">
        <f>"PEP-602C"</f>
        <v>PEP-602C</v>
      </c>
      <c r="B1725" s="2" t="str">
        <f>"PEP Verbindungskabel, DC48V, schwarz"</f>
        <v>PEP Verbindungskabel, DC48V, schwarz</v>
      </c>
      <c r="C1725" s="16">
        <v>27.5</v>
      </c>
      <c r="D1725" s="11">
        <v>97</v>
      </c>
      <c r="E1725" s="7">
        <f t="shared" si="80"/>
        <v>1</v>
      </c>
      <c r="F1725" s="22" t="str">
        <f>IF(ISERROR(VLOOKUP($A1725,#REF!,3,0)),"x",VLOOKUP($A1725,#REF!,3,FALSE))</f>
        <v>x</v>
      </c>
      <c r="G1725" s="9">
        <f t="shared" si="81"/>
        <v>1</v>
      </c>
      <c r="H1725" s="13">
        <f t="shared" si="82"/>
        <v>27.5</v>
      </c>
    </row>
    <row r="1726" spans="1:8" x14ac:dyDescent="0.25">
      <c r="A1726" s="2" t="str">
        <f>"PEP-605"</f>
        <v>PEP-605</v>
      </c>
      <c r="B1726" s="2" t="str">
        <f>"PEP Enddeckel für Ein-, Aufbauschiene, schwarz"</f>
        <v>PEP Enddeckel für Ein-, Aufbauschiene, schwarz</v>
      </c>
      <c r="C1726" s="16">
        <v>2.5</v>
      </c>
      <c r="D1726" s="11">
        <v>97</v>
      </c>
      <c r="E1726" s="7">
        <f t="shared" si="80"/>
        <v>1</v>
      </c>
      <c r="F1726" s="22" t="str">
        <f>IF(ISERROR(VLOOKUP($A1726,#REF!,3,0)),"x",VLOOKUP($A1726,#REF!,3,FALSE))</f>
        <v>x</v>
      </c>
      <c r="G1726" s="9">
        <f t="shared" si="81"/>
        <v>1</v>
      </c>
      <c r="H1726" s="13">
        <f t="shared" si="82"/>
        <v>2.5</v>
      </c>
    </row>
    <row r="1727" spans="1:8" x14ac:dyDescent="0.25">
      <c r="A1727" s="2" t="str">
        <f>"PEP-608"</f>
        <v>PEP-608</v>
      </c>
      <c r="B1727" s="2" t="str">
        <f>"PEP, DC48V Track-in LED Adapter inkl. elektronischem Netzteil, 100W, schwarz"</f>
        <v>PEP, DC48V Track-in LED Adapter inkl. elektronischem Netzteil, 100W, schwarz</v>
      </c>
      <c r="C1727" s="16">
        <v>215</v>
      </c>
      <c r="D1727" s="11">
        <v>96</v>
      </c>
      <c r="E1727" s="7">
        <f t="shared" si="80"/>
        <v>1</v>
      </c>
      <c r="F1727" s="22" t="str">
        <f>IF(ISERROR(VLOOKUP($A1727,#REF!,3,0)),"x",VLOOKUP($A1727,#REF!,3,FALSE))</f>
        <v>x</v>
      </c>
      <c r="G1727" s="9">
        <f t="shared" si="81"/>
        <v>1</v>
      </c>
      <c r="H1727" s="13">
        <f t="shared" si="82"/>
        <v>215</v>
      </c>
    </row>
    <row r="1728" spans="1:8" x14ac:dyDescent="0.25">
      <c r="A1728" s="2" t="str">
        <f>"PEP-609"</f>
        <v>PEP-609</v>
      </c>
      <c r="B1728" s="2" t="str">
        <f>"L-Verbinder für PEP-Schiene, schwarz"</f>
        <v>L-Verbinder für PEP-Schiene, schwarz</v>
      </c>
      <c r="C1728" s="16">
        <v>32.5</v>
      </c>
      <c r="D1728" s="11">
        <v>97</v>
      </c>
      <c r="E1728" s="7">
        <f t="shared" si="80"/>
        <v>1</v>
      </c>
      <c r="F1728" s="22" t="str">
        <f>IF(ISERROR(VLOOKUP($A1728,#REF!,3,0)),"x",VLOOKUP($A1728,#REF!,3,FALSE))</f>
        <v>x</v>
      </c>
      <c r="G1728" s="9">
        <f t="shared" si="81"/>
        <v>1</v>
      </c>
      <c r="H1728" s="13">
        <f t="shared" si="82"/>
        <v>32.5</v>
      </c>
    </row>
    <row r="1729" spans="1:8" x14ac:dyDescent="0.25">
      <c r="A1729" s="2" t="str">
        <f>"PEP-609-01"</f>
        <v>PEP-609-01</v>
      </c>
      <c r="B1729" s="2" t="str">
        <f>"Längsverbinder für PEP-Schiene, schwarz"</f>
        <v>Längsverbinder für PEP-Schiene, schwarz</v>
      </c>
      <c r="C1729" s="16">
        <v>32.5</v>
      </c>
      <c r="D1729" s="11">
        <v>97</v>
      </c>
      <c r="E1729" s="7">
        <f t="shared" si="80"/>
        <v>1</v>
      </c>
      <c r="F1729" s="22" t="str">
        <f>IF(ISERROR(VLOOKUP($A1729,#REF!,3,0)),"x",VLOOKUP($A1729,#REF!,3,FALSE))</f>
        <v>x</v>
      </c>
      <c r="G1729" s="9">
        <f t="shared" si="81"/>
        <v>1</v>
      </c>
      <c r="H1729" s="13">
        <f t="shared" si="82"/>
        <v>32.5</v>
      </c>
    </row>
    <row r="1730" spans="1:8" x14ac:dyDescent="0.25">
      <c r="A1730" s="2" t="str">
        <f>"PEP-609-02"</f>
        <v>PEP-609-02</v>
      </c>
      <c r="B1730" s="2" t="str">
        <f>"T-Verbinder für PEP-Schiene, schwarz"</f>
        <v>T-Verbinder für PEP-Schiene, schwarz</v>
      </c>
      <c r="C1730" s="16">
        <v>40</v>
      </c>
      <c r="D1730" s="11">
        <v>97</v>
      </c>
      <c r="E1730" s="7">
        <f t="shared" si="80"/>
        <v>1</v>
      </c>
      <c r="F1730" s="22" t="str">
        <f>IF(ISERROR(VLOOKUP($A1730,#REF!,3,0)),"x",VLOOKUP($A1730,#REF!,3,FALSE))</f>
        <v>x</v>
      </c>
      <c r="G1730" s="9">
        <f t="shared" si="81"/>
        <v>1</v>
      </c>
      <c r="H1730" s="13">
        <f t="shared" si="82"/>
        <v>40</v>
      </c>
    </row>
    <row r="1731" spans="1:8" x14ac:dyDescent="0.25">
      <c r="A1731" s="2" t="str">
        <f>"PEP-609-03"</f>
        <v>PEP-609-03</v>
      </c>
      <c r="B1731" s="2" t="str">
        <f>"X-Verbinder für PEP-Schiene, schwarz"</f>
        <v>X-Verbinder für PEP-Schiene, schwarz</v>
      </c>
      <c r="C1731" s="16">
        <v>42.5</v>
      </c>
      <c r="D1731" s="11">
        <v>97</v>
      </c>
      <c r="E1731" s="7">
        <f t="shared" ref="E1731:E1794" si="83">G1731</f>
        <v>1</v>
      </c>
      <c r="F1731" s="22" t="str">
        <f>IF(ISERROR(VLOOKUP($A1731,#REF!,3,0)),"x",VLOOKUP($A1731,#REF!,3,FALSE))</f>
        <v>x</v>
      </c>
      <c r="G1731" s="9">
        <f t="shared" ref="G1731:G1794" si="84">IF(C1731&lt;F1731,1,IF(C1731&gt;F1731,-1,0))</f>
        <v>1</v>
      </c>
      <c r="H1731" s="13">
        <f t="shared" si="82"/>
        <v>42.5</v>
      </c>
    </row>
    <row r="1732" spans="1:8" x14ac:dyDescent="0.25">
      <c r="A1732" s="2" t="str">
        <f>"PEP-609-04"</f>
        <v>PEP-609-04</v>
      </c>
      <c r="B1732" s="2" t="str">
        <f>"Rautenform-Verbinder für PEP-Schiene, schwarz"</f>
        <v>Rautenform-Verbinder für PEP-Schiene, schwarz</v>
      </c>
      <c r="C1732" s="16">
        <v>35</v>
      </c>
      <c r="D1732" s="11">
        <v>97</v>
      </c>
      <c r="E1732" s="7">
        <f t="shared" si="83"/>
        <v>1</v>
      </c>
      <c r="F1732" s="22" t="str">
        <f>IF(ISERROR(VLOOKUP($A1732,#REF!,3,0)),"x",VLOOKUP($A1732,#REF!,3,FALSE))</f>
        <v>x</v>
      </c>
      <c r="G1732" s="9">
        <f t="shared" si="84"/>
        <v>1</v>
      </c>
      <c r="H1732" s="13">
        <f t="shared" si="82"/>
        <v>35</v>
      </c>
    </row>
    <row r="1733" spans="1:8" x14ac:dyDescent="0.25">
      <c r="A1733" s="2" t="str">
        <f>"PEP-609-05"</f>
        <v>PEP-609-05</v>
      </c>
      <c r="B1733" s="2" t="str">
        <f>"Hexagonform-Verbinder für PEP-Schiene, schwarz"</f>
        <v>Hexagonform-Verbinder für PEP-Schiene, schwarz</v>
      </c>
      <c r="C1733" s="16">
        <v>150</v>
      </c>
      <c r="D1733" s="11">
        <v>97</v>
      </c>
      <c r="E1733" s="7">
        <f t="shared" si="83"/>
        <v>1</v>
      </c>
      <c r="F1733" s="22" t="str">
        <f>IF(ISERROR(VLOOKUP($A1733,#REF!,3,0)),"x",VLOOKUP($A1733,#REF!,3,FALSE))</f>
        <v>x</v>
      </c>
      <c r="G1733" s="9">
        <f t="shared" si="84"/>
        <v>1</v>
      </c>
      <c r="H1733" s="13">
        <f t="shared" ref="H1733:H1796" si="85">IF(F1733="x",C1733,F1733)</f>
        <v>150</v>
      </c>
    </row>
    <row r="1734" spans="1:8" x14ac:dyDescent="0.25">
      <c r="A1734" s="2" t="str">
        <f>"PEP-609-06"</f>
        <v>PEP-609-06</v>
      </c>
      <c r="B1734" s="2" t="str">
        <f>"T-Verbinder Raute für PEP-Schiene, schwarz"</f>
        <v>T-Verbinder Raute für PEP-Schiene, schwarz</v>
      </c>
      <c r="C1734" s="16">
        <v>40</v>
      </c>
      <c r="D1734" s="11">
        <v>97</v>
      </c>
      <c r="E1734" s="7">
        <f t="shared" si="83"/>
        <v>1</v>
      </c>
      <c r="F1734" s="22" t="str">
        <f>IF(ISERROR(VLOOKUP($A1734,#REF!,3,0)),"x",VLOOKUP($A1734,#REF!,3,FALSE))</f>
        <v>x</v>
      </c>
      <c r="G1734" s="9">
        <f t="shared" si="84"/>
        <v>1</v>
      </c>
      <c r="H1734" s="13">
        <f t="shared" si="85"/>
        <v>40</v>
      </c>
    </row>
    <row r="1735" spans="1:8" x14ac:dyDescent="0.25">
      <c r="A1735" s="2" t="str">
        <f>"PEP-612"</f>
        <v>PEP-612</v>
      </c>
      <c r="B1735" s="2" t="str">
        <f>"PEP Einbauwinkel, für Aufbauschiene, schwarz"</f>
        <v>PEP Einbauwinkel, für Aufbauschiene, schwarz</v>
      </c>
      <c r="C1735" s="16">
        <v>17.5</v>
      </c>
      <c r="D1735" s="11">
        <v>97</v>
      </c>
      <c r="E1735" s="7">
        <f t="shared" si="83"/>
        <v>1</v>
      </c>
      <c r="F1735" s="22" t="str">
        <f>IF(ISERROR(VLOOKUP($A1735,#REF!,3,0)),"x",VLOOKUP($A1735,#REF!,3,FALSE))</f>
        <v>x</v>
      </c>
      <c r="G1735" s="9">
        <f t="shared" si="84"/>
        <v>1</v>
      </c>
      <c r="H1735" s="13">
        <f t="shared" si="85"/>
        <v>17.5</v>
      </c>
    </row>
    <row r="1736" spans="1:8" x14ac:dyDescent="0.25">
      <c r="A1736" s="2" t="str">
        <f>"PEP-6SW2"</f>
        <v>PEP-6SW2</v>
      </c>
      <c r="B1736" s="2" t="str">
        <f>"PEP LED Lichtkanal, 6W, 2700K, schwarz"</f>
        <v>PEP LED Lichtkanal, 6W, 2700K, schwarz</v>
      </c>
      <c r="C1736" s="16">
        <v>62.5</v>
      </c>
      <c r="D1736" s="11">
        <v>103</v>
      </c>
      <c r="E1736" s="7">
        <f t="shared" si="83"/>
        <v>1</v>
      </c>
      <c r="F1736" s="22" t="str">
        <f>IF(ISERROR(VLOOKUP($A1736,#REF!,3,0)),"x",VLOOKUP($A1736,#REF!,3,FALSE))</f>
        <v>x</v>
      </c>
      <c r="G1736" s="9">
        <f t="shared" si="84"/>
        <v>1</v>
      </c>
      <c r="H1736" s="13">
        <f t="shared" si="85"/>
        <v>62.5</v>
      </c>
    </row>
    <row r="1737" spans="1:8" x14ac:dyDescent="0.25">
      <c r="A1737" s="2" t="str">
        <f>"PEP-6SW2DD"</f>
        <v>PEP-6SW2DD</v>
      </c>
      <c r="B1737" s="2" t="str">
        <f>"PEP LED Lichtkanal, 6W, 2700K, DALI, schwarz"</f>
        <v>PEP LED Lichtkanal, 6W, 2700K, DALI, schwarz</v>
      </c>
      <c r="C1737" s="16">
        <v>160</v>
      </c>
      <c r="D1737" s="11">
        <v>103</v>
      </c>
      <c r="E1737" s="7">
        <f t="shared" si="83"/>
        <v>1</v>
      </c>
      <c r="F1737" s="22" t="str">
        <f>IF(ISERROR(VLOOKUP($A1737,#REF!,3,0)),"x",VLOOKUP($A1737,#REF!,3,FALSE))</f>
        <v>x</v>
      </c>
      <c r="G1737" s="9">
        <f t="shared" si="84"/>
        <v>1</v>
      </c>
      <c r="H1737" s="13">
        <f t="shared" si="85"/>
        <v>160</v>
      </c>
    </row>
    <row r="1738" spans="1:8" x14ac:dyDescent="0.25">
      <c r="A1738" s="2" t="str">
        <f>"PEP-6WW2"</f>
        <v>PEP-6WW2</v>
      </c>
      <c r="B1738" s="2" t="str">
        <f>"PEP LED Lichtkanal, 6W, 3000K, schwarz"</f>
        <v>PEP LED Lichtkanal, 6W, 3000K, schwarz</v>
      </c>
      <c r="C1738" s="16">
        <v>47.5</v>
      </c>
      <c r="D1738" s="11">
        <v>103</v>
      </c>
      <c r="E1738" s="7">
        <f t="shared" si="83"/>
        <v>1</v>
      </c>
      <c r="F1738" s="22" t="str">
        <f>IF(ISERROR(VLOOKUP($A1738,#REF!,3,0)),"x",VLOOKUP($A1738,#REF!,3,FALSE))</f>
        <v>x</v>
      </c>
      <c r="G1738" s="9">
        <f t="shared" si="84"/>
        <v>1</v>
      </c>
      <c r="H1738" s="13">
        <f t="shared" si="85"/>
        <v>47.5</v>
      </c>
    </row>
    <row r="1739" spans="1:8" x14ac:dyDescent="0.25">
      <c r="A1739" s="2" t="str">
        <f>"PEP-6WW2DD"</f>
        <v>PEP-6WW2DD</v>
      </c>
      <c r="B1739" s="2" t="str">
        <f>"PEP LED Lichtkanal, 6W, 3000K, DALI, schwarz"</f>
        <v>PEP LED Lichtkanal, 6W, 3000K, DALI, schwarz</v>
      </c>
      <c r="C1739" s="16">
        <v>160</v>
      </c>
      <c r="D1739" s="11">
        <v>103</v>
      </c>
      <c r="E1739" s="7">
        <f t="shared" si="83"/>
        <v>1</v>
      </c>
      <c r="F1739" s="22" t="str">
        <f>IF(ISERROR(VLOOKUP($A1739,#REF!,3,0)),"x",VLOOKUP($A1739,#REF!,3,FALSE))</f>
        <v>x</v>
      </c>
      <c r="G1739" s="9">
        <f t="shared" si="84"/>
        <v>1</v>
      </c>
      <c r="H1739" s="13">
        <f t="shared" si="85"/>
        <v>160</v>
      </c>
    </row>
    <row r="1740" spans="1:8" x14ac:dyDescent="0.25">
      <c r="A1740" s="2" t="str">
        <f>"PEP-7SW2"</f>
        <v>PEP-7SW2</v>
      </c>
      <c r="B1740" s="2" t="str">
        <f>"PEP LED Lichteinsatz, 7,6W, 2700K, schwarz"</f>
        <v>PEP LED Lichteinsatz, 7,6W, 2700K, schwarz</v>
      </c>
      <c r="C1740" s="16">
        <v>82.5</v>
      </c>
      <c r="D1740" s="11">
        <v>102</v>
      </c>
      <c r="E1740" s="7">
        <f t="shared" si="83"/>
        <v>1</v>
      </c>
      <c r="F1740" s="22" t="str">
        <f>IF(ISERROR(VLOOKUP($A1740,#REF!,3,0)),"x",VLOOKUP($A1740,#REF!,3,FALSE))</f>
        <v>x</v>
      </c>
      <c r="G1740" s="9">
        <f t="shared" si="84"/>
        <v>1</v>
      </c>
      <c r="H1740" s="13">
        <f t="shared" si="85"/>
        <v>82.5</v>
      </c>
    </row>
    <row r="1741" spans="1:8" x14ac:dyDescent="0.25">
      <c r="A1741" s="2" t="str">
        <f>"PEP-7WW2"</f>
        <v>PEP-7WW2</v>
      </c>
      <c r="B1741" s="2" t="str">
        <f>"PEP LED Lichteinsatz, 7,6W, 3000K, schwarz"</f>
        <v>PEP LED Lichteinsatz, 7,6W, 3000K, schwarz</v>
      </c>
      <c r="C1741" s="16">
        <v>82.5</v>
      </c>
      <c r="D1741" s="11">
        <v>102</v>
      </c>
      <c r="E1741" s="7">
        <f t="shared" si="83"/>
        <v>1</v>
      </c>
      <c r="F1741" s="22" t="str">
        <f>IF(ISERROR(VLOOKUP($A1741,#REF!,3,0)),"x",VLOOKUP($A1741,#REF!,3,FALSE))</f>
        <v>x</v>
      </c>
      <c r="G1741" s="9">
        <f t="shared" si="84"/>
        <v>1</v>
      </c>
      <c r="H1741" s="13">
        <f t="shared" si="85"/>
        <v>82.5</v>
      </c>
    </row>
    <row r="1742" spans="1:8" x14ac:dyDescent="0.25">
      <c r="A1742" s="2" t="str">
        <f>"PEP-8SW12"</f>
        <v>PEP-8SW12</v>
      </c>
      <c r="B1742" s="2" t="str">
        <f>"PEP LED Schienenstrahler, 8W, 2700K, schwarz"</f>
        <v>PEP LED Schienenstrahler, 8W, 2700K, schwarz</v>
      </c>
      <c r="C1742" s="16">
        <v>47.5</v>
      </c>
      <c r="D1742" s="11">
        <v>98</v>
      </c>
      <c r="E1742" s="7">
        <f t="shared" si="83"/>
        <v>1</v>
      </c>
      <c r="F1742" s="22" t="str">
        <f>IF(ISERROR(VLOOKUP($A1742,#REF!,3,0)),"x",VLOOKUP($A1742,#REF!,3,FALSE))</f>
        <v>x</v>
      </c>
      <c r="G1742" s="9">
        <f t="shared" si="84"/>
        <v>1</v>
      </c>
      <c r="H1742" s="13">
        <f t="shared" si="85"/>
        <v>47.5</v>
      </c>
    </row>
    <row r="1743" spans="1:8" x14ac:dyDescent="0.25">
      <c r="A1743" s="2" t="str">
        <f>"PEP-8SW12-1"</f>
        <v>PEP-8SW12-1</v>
      </c>
      <c r="B1743" s="2" t="str">
        <f>"PEP LED Schienenstrahler, 8W, 2700K, schwarz/weiß"</f>
        <v>PEP LED Schienenstrahler, 8W, 2700K, schwarz/weiß</v>
      </c>
      <c r="C1743" s="16">
        <v>47.5</v>
      </c>
      <c r="D1743" s="11">
        <v>98</v>
      </c>
      <c r="E1743" s="7">
        <f t="shared" si="83"/>
        <v>1</v>
      </c>
      <c r="F1743" s="22" t="str">
        <f>IF(ISERROR(VLOOKUP($A1743,#REF!,3,0)),"x",VLOOKUP($A1743,#REF!,3,FALSE))</f>
        <v>x</v>
      </c>
      <c r="G1743" s="9">
        <f t="shared" si="84"/>
        <v>1</v>
      </c>
      <c r="H1743" s="13">
        <f t="shared" si="85"/>
        <v>47.5</v>
      </c>
    </row>
    <row r="1744" spans="1:8" x14ac:dyDescent="0.25">
      <c r="A1744" s="2" t="str">
        <f>"PEP-8SW12-1DD"</f>
        <v>PEP-8SW12-1DD</v>
      </c>
      <c r="B1744" s="2" t="str">
        <f>"PEP LED Schienenstrahler, 8W, 2700K, DALI, schwarz"</f>
        <v>PEP LED Schienenstrahler, 8W, 2700K, DALI, schwarz</v>
      </c>
      <c r="C1744" s="16">
        <v>147.5</v>
      </c>
      <c r="D1744" s="11">
        <v>98</v>
      </c>
      <c r="E1744" s="7">
        <f t="shared" si="83"/>
        <v>1</v>
      </c>
      <c r="F1744" s="22" t="str">
        <f>IF(ISERROR(VLOOKUP($A1744,#REF!,3,0)),"x",VLOOKUP($A1744,#REF!,3,FALSE))</f>
        <v>x</v>
      </c>
      <c r="G1744" s="9">
        <f t="shared" si="84"/>
        <v>1</v>
      </c>
      <c r="H1744" s="13">
        <f t="shared" si="85"/>
        <v>147.5</v>
      </c>
    </row>
    <row r="1745" spans="1:8" x14ac:dyDescent="0.25">
      <c r="A1745" s="2" t="str">
        <f>"PEP-8SW12DD"</f>
        <v>PEP-8SW12DD</v>
      </c>
      <c r="B1745" s="2" t="str">
        <f>"PEP LED Schienenstrahler, 8W, 2700K, DALI, schwarz"</f>
        <v>PEP LED Schienenstrahler, 8W, 2700K, DALI, schwarz</v>
      </c>
      <c r="C1745" s="16">
        <v>147.5</v>
      </c>
      <c r="D1745" s="11">
        <v>98</v>
      </c>
      <c r="E1745" s="7">
        <f t="shared" si="83"/>
        <v>1</v>
      </c>
      <c r="F1745" s="22" t="str">
        <f>IF(ISERROR(VLOOKUP($A1745,#REF!,3,0)),"x",VLOOKUP($A1745,#REF!,3,FALSE))</f>
        <v>x</v>
      </c>
      <c r="G1745" s="9">
        <f t="shared" si="84"/>
        <v>1</v>
      </c>
      <c r="H1745" s="13">
        <f t="shared" si="85"/>
        <v>147.5</v>
      </c>
    </row>
    <row r="1746" spans="1:8" x14ac:dyDescent="0.25">
      <c r="A1746" s="2" t="str">
        <f>"PEP-8SW32"</f>
        <v>PEP-8SW32</v>
      </c>
      <c r="B1746" s="2" t="str">
        <f>"PEP LED Pendelleuchte, 8W, 2700K, schwarz"</f>
        <v>PEP LED Pendelleuchte, 8W, 2700K, schwarz</v>
      </c>
      <c r="C1746" s="16">
        <v>62.5</v>
      </c>
      <c r="D1746" s="11">
        <v>100</v>
      </c>
      <c r="E1746" s="7">
        <f t="shared" si="83"/>
        <v>1</v>
      </c>
      <c r="F1746" s="22" t="str">
        <f>IF(ISERROR(VLOOKUP($A1746,#REF!,3,0)),"x",VLOOKUP($A1746,#REF!,3,FALSE))</f>
        <v>x</v>
      </c>
      <c r="G1746" s="9">
        <f t="shared" si="84"/>
        <v>1</v>
      </c>
      <c r="H1746" s="13">
        <f t="shared" si="85"/>
        <v>62.5</v>
      </c>
    </row>
    <row r="1747" spans="1:8" x14ac:dyDescent="0.25">
      <c r="A1747" s="2" t="str">
        <f>"PEP-8SW32DD"</f>
        <v>PEP-8SW32DD</v>
      </c>
      <c r="B1747" s="2" t="str">
        <f>"PEP LED Pendelleuchte, 8W, 2700K, DALI, schwarz"</f>
        <v>PEP LED Pendelleuchte, 8W, 2700K, DALI, schwarz</v>
      </c>
      <c r="C1747" s="16">
        <v>160</v>
      </c>
      <c r="D1747" s="11">
        <v>100</v>
      </c>
      <c r="E1747" s="7">
        <f t="shared" si="83"/>
        <v>1</v>
      </c>
      <c r="F1747" s="22" t="str">
        <f>IF(ISERROR(VLOOKUP($A1747,#REF!,3,0)),"x",VLOOKUP($A1747,#REF!,3,FALSE))</f>
        <v>x</v>
      </c>
      <c r="G1747" s="9">
        <f t="shared" si="84"/>
        <v>1</v>
      </c>
      <c r="H1747" s="13">
        <f t="shared" si="85"/>
        <v>160</v>
      </c>
    </row>
    <row r="1748" spans="1:8" x14ac:dyDescent="0.25">
      <c r="A1748" s="2" t="str">
        <f>"PEP-8WW12"</f>
        <v>PEP-8WW12</v>
      </c>
      <c r="B1748" s="2" t="str">
        <f>"PEP LED Schienenstrahler, 8W, 3000K, schwarz"</f>
        <v>PEP LED Schienenstrahler, 8W, 3000K, schwarz</v>
      </c>
      <c r="C1748" s="16">
        <v>47.5</v>
      </c>
      <c r="D1748" s="11">
        <v>98</v>
      </c>
      <c r="E1748" s="7">
        <f t="shared" si="83"/>
        <v>1</v>
      </c>
      <c r="F1748" s="22" t="str">
        <f>IF(ISERROR(VLOOKUP($A1748,#REF!,3,0)),"x",VLOOKUP($A1748,#REF!,3,FALSE))</f>
        <v>x</v>
      </c>
      <c r="G1748" s="9">
        <f t="shared" si="84"/>
        <v>1</v>
      </c>
      <c r="H1748" s="13">
        <f t="shared" si="85"/>
        <v>47.5</v>
      </c>
    </row>
    <row r="1749" spans="1:8" x14ac:dyDescent="0.25">
      <c r="A1749" s="2" t="str">
        <f>"PEP-8WW12-1"</f>
        <v>PEP-8WW12-1</v>
      </c>
      <c r="B1749" s="2" t="str">
        <f>"PEP LED Schienenstrahler, 8W, 3000K, schwarz/weiß"</f>
        <v>PEP LED Schienenstrahler, 8W, 3000K, schwarz/weiß</v>
      </c>
      <c r="C1749" s="16">
        <v>47.5</v>
      </c>
      <c r="D1749" s="11">
        <v>98</v>
      </c>
      <c r="E1749" s="7">
        <f t="shared" si="83"/>
        <v>1</v>
      </c>
      <c r="F1749" s="22" t="str">
        <f>IF(ISERROR(VLOOKUP($A1749,#REF!,3,0)),"x",VLOOKUP($A1749,#REF!,3,FALSE))</f>
        <v>x</v>
      </c>
      <c r="G1749" s="9">
        <f t="shared" si="84"/>
        <v>1</v>
      </c>
      <c r="H1749" s="13">
        <f t="shared" si="85"/>
        <v>47.5</v>
      </c>
    </row>
    <row r="1750" spans="1:8" x14ac:dyDescent="0.25">
      <c r="A1750" s="2" t="str">
        <f>"PEP-8WW12-1DD"</f>
        <v>PEP-8WW12-1DD</v>
      </c>
      <c r="B1750" s="2" t="str">
        <f>"PEP LED Schienenstrahler, 8W, 3000K, DALI, schwarz/weiß"</f>
        <v>PEP LED Schienenstrahler, 8W, 3000K, DALI, schwarz/weiß</v>
      </c>
      <c r="C1750" s="16">
        <v>147.5</v>
      </c>
      <c r="D1750" s="11">
        <v>98</v>
      </c>
      <c r="E1750" s="7">
        <f t="shared" si="83"/>
        <v>1</v>
      </c>
      <c r="F1750" s="22" t="str">
        <f>IF(ISERROR(VLOOKUP($A1750,#REF!,3,0)),"x",VLOOKUP($A1750,#REF!,3,FALSE))</f>
        <v>x</v>
      </c>
      <c r="G1750" s="9">
        <f t="shared" si="84"/>
        <v>1</v>
      </c>
      <c r="H1750" s="13">
        <f t="shared" si="85"/>
        <v>147.5</v>
      </c>
    </row>
    <row r="1751" spans="1:8" x14ac:dyDescent="0.25">
      <c r="A1751" s="2" t="str">
        <f>"PEP-8WW12DD"</f>
        <v>PEP-8WW12DD</v>
      </c>
      <c r="B1751" s="2" t="str">
        <f>"PEP LED Schienenstrahler, 8W, 3000K, DALI, schwarz"</f>
        <v>PEP LED Schienenstrahler, 8W, 3000K, DALI, schwarz</v>
      </c>
      <c r="C1751" s="16">
        <v>147.5</v>
      </c>
      <c r="D1751" s="11">
        <v>98</v>
      </c>
      <c r="E1751" s="7">
        <f t="shared" si="83"/>
        <v>1</v>
      </c>
      <c r="F1751" s="22" t="str">
        <f>IF(ISERROR(VLOOKUP($A1751,#REF!,3,0)),"x",VLOOKUP($A1751,#REF!,3,FALSE))</f>
        <v>x</v>
      </c>
      <c r="G1751" s="9">
        <f t="shared" si="84"/>
        <v>1</v>
      </c>
      <c r="H1751" s="13">
        <f t="shared" si="85"/>
        <v>147.5</v>
      </c>
    </row>
    <row r="1752" spans="1:8" x14ac:dyDescent="0.25">
      <c r="A1752" s="2" t="str">
        <f>"PEPR-11SW2"</f>
        <v>PEPR-11SW2</v>
      </c>
      <c r="B1752" s="2" t="str">
        <f>"PEPR LED Lichteinsatz, 6W, 36°, 2700K, schwarz"</f>
        <v>PEPR LED Lichteinsatz, 6W, 36°, 2700K, schwarz</v>
      </c>
      <c r="C1752" s="16">
        <v>57.5</v>
      </c>
      <c r="D1752" s="11">
        <v>93</v>
      </c>
      <c r="E1752" s="7">
        <f t="shared" si="83"/>
        <v>1</v>
      </c>
      <c r="F1752" s="22" t="str">
        <f>IF(ISERROR(VLOOKUP($A1752,#REF!,3,0)),"x",VLOOKUP($A1752,#REF!,3,FALSE))</f>
        <v>x</v>
      </c>
      <c r="G1752" s="9">
        <f t="shared" si="84"/>
        <v>1</v>
      </c>
      <c r="H1752" s="13">
        <f t="shared" si="85"/>
        <v>57.5</v>
      </c>
    </row>
    <row r="1753" spans="1:8" x14ac:dyDescent="0.25">
      <c r="A1753" s="2" t="str">
        <f>"PEPR-11WW2"</f>
        <v>PEPR-11WW2</v>
      </c>
      <c r="B1753" s="2" t="str">
        <f>"PEPR LED Lichteinsatz, 6W, 36°, 3000K, schwarz"</f>
        <v>PEPR LED Lichteinsatz, 6W, 36°, 3000K, schwarz</v>
      </c>
      <c r="C1753" s="16">
        <v>57.5</v>
      </c>
      <c r="D1753" s="11">
        <v>93</v>
      </c>
      <c r="E1753" s="7">
        <f t="shared" si="83"/>
        <v>1</v>
      </c>
      <c r="F1753" s="22" t="str">
        <f>IF(ISERROR(VLOOKUP($A1753,#REF!,3,0)),"x",VLOOKUP($A1753,#REF!,3,FALSE))</f>
        <v>x</v>
      </c>
      <c r="G1753" s="9">
        <f t="shared" si="84"/>
        <v>1</v>
      </c>
      <c r="H1753" s="13">
        <f t="shared" si="85"/>
        <v>57.5</v>
      </c>
    </row>
    <row r="1754" spans="1:8" x14ac:dyDescent="0.25">
      <c r="A1754" s="2" t="str">
        <f>"PEPR-13SW11"</f>
        <v>PEPR-13SW11</v>
      </c>
      <c r="B1754" s="2" t="str">
        <f>"PEPR Schienenstrahler, LED 13W, 2700K, weiss"</f>
        <v>PEPR Schienenstrahler, LED 13W, 2700K, weiss</v>
      </c>
      <c r="C1754" s="16">
        <v>112.5</v>
      </c>
      <c r="D1754" s="11">
        <v>92</v>
      </c>
      <c r="E1754" s="7">
        <f t="shared" si="83"/>
        <v>1</v>
      </c>
      <c r="F1754" s="22" t="str">
        <f>IF(ISERROR(VLOOKUP($A1754,#REF!,3,0)),"x",VLOOKUP($A1754,#REF!,3,FALSE))</f>
        <v>x</v>
      </c>
      <c r="G1754" s="9">
        <f t="shared" si="84"/>
        <v>1</v>
      </c>
      <c r="H1754" s="13">
        <f t="shared" si="85"/>
        <v>112.5</v>
      </c>
    </row>
    <row r="1755" spans="1:8" x14ac:dyDescent="0.25">
      <c r="A1755" s="2" t="str">
        <f>"PEPR-13SW12"</f>
        <v>PEPR-13SW12</v>
      </c>
      <c r="B1755" s="2" t="str">
        <f>"PEPR Schienenstrahler, LED 13W, 2700K, schwarz"</f>
        <v>PEPR Schienenstrahler, LED 13W, 2700K, schwarz</v>
      </c>
      <c r="C1755" s="16">
        <v>112.5</v>
      </c>
      <c r="D1755" s="11">
        <v>92</v>
      </c>
      <c r="E1755" s="7">
        <f t="shared" si="83"/>
        <v>1</v>
      </c>
      <c r="F1755" s="22" t="str">
        <f>IF(ISERROR(VLOOKUP($A1755,#REF!,3,0)),"x",VLOOKUP($A1755,#REF!,3,FALSE))</f>
        <v>x</v>
      </c>
      <c r="G1755" s="9">
        <f t="shared" si="84"/>
        <v>1</v>
      </c>
      <c r="H1755" s="13">
        <f t="shared" si="85"/>
        <v>112.5</v>
      </c>
    </row>
    <row r="1756" spans="1:8" x14ac:dyDescent="0.25">
      <c r="A1756" s="2" t="str">
        <f>"PEPR-13WW11"</f>
        <v>PEPR-13WW11</v>
      </c>
      <c r="B1756" s="2" t="str">
        <f>"PEPR Schienenstrahler, LED 13W, 3000K, weiss"</f>
        <v>PEPR Schienenstrahler, LED 13W, 3000K, weiss</v>
      </c>
      <c r="C1756" s="16">
        <v>112.5</v>
      </c>
      <c r="D1756" s="11">
        <v>92</v>
      </c>
      <c r="E1756" s="7">
        <f t="shared" si="83"/>
        <v>1</v>
      </c>
      <c r="F1756" s="22" t="str">
        <f>IF(ISERROR(VLOOKUP($A1756,#REF!,3,0)),"x",VLOOKUP($A1756,#REF!,3,FALSE))</f>
        <v>x</v>
      </c>
      <c r="G1756" s="9">
        <f t="shared" si="84"/>
        <v>1</v>
      </c>
      <c r="H1756" s="13">
        <f t="shared" si="85"/>
        <v>112.5</v>
      </c>
    </row>
    <row r="1757" spans="1:8" x14ac:dyDescent="0.25">
      <c r="A1757" s="2" t="str">
        <f>"PEPR-13WW12"</f>
        <v>PEPR-13WW12</v>
      </c>
      <c r="B1757" s="2" t="str">
        <f>"PEPR Schienenstrahler, LED 13W, 3000K, schwarz"</f>
        <v>PEPR Schienenstrahler, LED 13W, 3000K, schwarz</v>
      </c>
      <c r="C1757" s="16">
        <v>112.5</v>
      </c>
      <c r="D1757" s="11">
        <v>92</v>
      </c>
      <c r="E1757" s="7">
        <f t="shared" si="83"/>
        <v>1</v>
      </c>
      <c r="F1757" s="22" t="str">
        <f>IF(ISERROR(VLOOKUP($A1757,#REF!,3,0)),"x",VLOOKUP($A1757,#REF!,3,FALSE))</f>
        <v>x</v>
      </c>
      <c r="G1757" s="9">
        <f t="shared" si="84"/>
        <v>1</v>
      </c>
      <c r="H1757" s="13">
        <f t="shared" si="85"/>
        <v>112.5</v>
      </c>
    </row>
    <row r="1758" spans="1:8" x14ac:dyDescent="0.25">
      <c r="A1758" s="2" t="str">
        <f>"PEPR-18SW12"</f>
        <v>PEPR-18SW12</v>
      </c>
      <c r="B1758" s="2" t="str">
        <f>"PEPR Schienenstraler, LED 18W, 2700K, schwarz"</f>
        <v>PEPR Schienenstraler, LED 18W, 2700K, schwarz</v>
      </c>
      <c r="C1758" s="16">
        <v>100</v>
      </c>
      <c r="D1758" s="11">
        <v>92</v>
      </c>
      <c r="E1758" s="7">
        <f t="shared" si="83"/>
        <v>1</v>
      </c>
      <c r="F1758" s="22" t="str">
        <f>IF(ISERROR(VLOOKUP($A1758,#REF!,3,0)),"x",VLOOKUP($A1758,#REF!,3,FALSE))</f>
        <v>x</v>
      </c>
      <c r="G1758" s="9">
        <f t="shared" si="84"/>
        <v>1</v>
      </c>
      <c r="H1758" s="13">
        <f t="shared" si="85"/>
        <v>100</v>
      </c>
    </row>
    <row r="1759" spans="1:8" x14ac:dyDescent="0.25">
      <c r="A1759" s="2" t="str">
        <f>"PEPR-18WW12"</f>
        <v>PEPR-18WW12</v>
      </c>
      <c r="B1759" s="2" t="str">
        <f>"PEPR Schienenstraler, LED 18W, 3000K, schwarz"</f>
        <v>PEPR Schienenstraler, LED 18W, 3000K, schwarz</v>
      </c>
      <c r="C1759" s="16">
        <v>100</v>
      </c>
      <c r="D1759" s="11">
        <v>92</v>
      </c>
      <c r="E1759" s="7">
        <f t="shared" si="83"/>
        <v>1</v>
      </c>
      <c r="F1759" s="22" t="str">
        <f>IF(ISERROR(VLOOKUP($A1759,#REF!,3,0)),"x",VLOOKUP($A1759,#REF!,3,FALSE))</f>
        <v>x</v>
      </c>
      <c r="G1759" s="9">
        <f t="shared" si="84"/>
        <v>1</v>
      </c>
      <c r="H1759" s="13">
        <f t="shared" si="85"/>
        <v>100</v>
      </c>
    </row>
    <row r="1760" spans="1:8" x14ac:dyDescent="0.25">
      <c r="A1760" s="2" t="str">
        <f>"PEPR-202"</f>
        <v>PEPR-202</v>
      </c>
      <c r="B1760" s="2" t="str">
        <f>"PEP Schiene rund Dia. 2m, inkl. Zubehör, schwarz"</f>
        <v>PEP Schiene rund Dia. 2m, inkl. Zubehör, schwarz</v>
      </c>
      <c r="C1760" s="16">
        <v>920</v>
      </c>
      <c r="D1760" s="11">
        <v>91</v>
      </c>
      <c r="E1760" s="7">
        <f t="shared" si="83"/>
        <v>1</v>
      </c>
      <c r="F1760" s="22" t="str">
        <f>IF(ISERROR(VLOOKUP($A1760,#REF!,3,0)),"x",VLOOKUP($A1760,#REF!,3,FALSE))</f>
        <v>x</v>
      </c>
      <c r="G1760" s="9">
        <f t="shared" si="84"/>
        <v>1</v>
      </c>
      <c r="H1760" s="13">
        <f t="shared" si="85"/>
        <v>920</v>
      </c>
    </row>
    <row r="1761" spans="1:8" x14ac:dyDescent="0.25">
      <c r="A1761" s="2" t="str">
        <f>"PEPR-302"</f>
        <v>PEPR-302</v>
      </c>
      <c r="B1761" s="2" t="str">
        <f>"PEP Schiene rund Dia. 3m, inkl. Zubehör, schwarz"</f>
        <v>PEP Schiene rund Dia. 3m, inkl. Zubehör, schwarz</v>
      </c>
      <c r="C1761" s="16">
        <v>1230</v>
      </c>
      <c r="D1761" s="11">
        <v>91</v>
      </c>
      <c r="E1761" s="7">
        <f t="shared" si="83"/>
        <v>1</v>
      </c>
      <c r="F1761" s="22" t="str">
        <f>IF(ISERROR(VLOOKUP($A1761,#REF!,3,0)),"x",VLOOKUP($A1761,#REF!,3,FALSE))</f>
        <v>x</v>
      </c>
      <c r="G1761" s="9">
        <f t="shared" si="84"/>
        <v>1</v>
      </c>
      <c r="H1761" s="13">
        <f t="shared" si="85"/>
        <v>1230</v>
      </c>
    </row>
    <row r="1762" spans="1:8" x14ac:dyDescent="0.25">
      <c r="A1762" s="2" t="str">
        <f>"PEPR-502"</f>
        <v>PEPR-502</v>
      </c>
      <c r="B1762" s="2" t="str">
        <f>"PEP Schiene rund Dia. 5m, inkl. Zubehör, schwarz"</f>
        <v>PEP Schiene rund Dia. 5m, inkl. Zubehör, schwarz</v>
      </c>
      <c r="C1762" s="16">
        <v>1847.5</v>
      </c>
      <c r="D1762" s="11">
        <v>91</v>
      </c>
      <c r="E1762" s="7">
        <f t="shared" si="83"/>
        <v>1</v>
      </c>
      <c r="F1762" s="22" t="str">
        <f>IF(ISERROR(VLOOKUP($A1762,#REF!,3,0)),"x",VLOOKUP($A1762,#REF!,3,FALSE))</f>
        <v>x</v>
      </c>
      <c r="G1762" s="9">
        <f t="shared" si="84"/>
        <v>1</v>
      </c>
      <c r="H1762" s="13">
        <f t="shared" si="85"/>
        <v>1847.5</v>
      </c>
    </row>
    <row r="1763" spans="1:8" x14ac:dyDescent="0.25">
      <c r="A1763" s="2" t="str">
        <f>"PEPR-6SW12"</f>
        <v>PEPR-6SW12</v>
      </c>
      <c r="B1763" s="2" t="str">
        <f>"PEPR Schienenstrahler, LED 7W, 2700K, schwarz"</f>
        <v>PEPR Schienenstrahler, LED 7W, 2700K, schwarz</v>
      </c>
      <c r="C1763" s="16">
        <v>55</v>
      </c>
      <c r="D1763" s="11">
        <v>92</v>
      </c>
      <c r="E1763" s="7">
        <f t="shared" si="83"/>
        <v>1</v>
      </c>
      <c r="F1763" s="22" t="str">
        <f>IF(ISERROR(VLOOKUP($A1763,#REF!,3,0)),"x",VLOOKUP($A1763,#REF!,3,FALSE))</f>
        <v>x</v>
      </c>
      <c r="G1763" s="9">
        <f t="shared" si="84"/>
        <v>1</v>
      </c>
      <c r="H1763" s="13">
        <f t="shared" si="85"/>
        <v>55</v>
      </c>
    </row>
    <row r="1764" spans="1:8" x14ac:dyDescent="0.25">
      <c r="A1764" s="2" t="str">
        <f>"PEPR-6SW31"</f>
        <v>PEPR-6SW31</v>
      </c>
      <c r="B1764" s="2" t="str">
        <f>"PEPR Pendelleuchte, LED 7W, 2700K, weiss"</f>
        <v>PEPR Pendelleuchte, LED 7W, 2700K, weiss</v>
      </c>
      <c r="C1764" s="16">
        <v>65</v>
      </c>
      <c r="D1764" s="11">
        <v>93</v>
      </c>
      <c r="E1764" s="7">
        <f t="shared" si="83"/>
        <v>1</v>
      </c>
      <c r="F1764" s="22" t="str">
        <f>IF(ISERROR(VLOOKUP($A1764,#REF!,3,0)),"x",VLOOKUP($A1764,#REF!,3,FALSE))</f>
        <v>x</v>
      </c>
      <c r="G1764" s="9">
        <f t="shared" si="84"/>
        <v>1</v>
      </c>
      <c r="H1764" s="13">
        <f t="shared" si="85"/>
        <v>65</v>
      </c>
    </row>
    <row r="1765" spans="1:8" x14ac:dyDescent="0.25">
      <c r="A1765" s="2" t="str">
        <f>"PEPR-6SW32"</f>
        <v>PEPR-6SW32</v>
      </c>
      <c r="B1765" s="2" t="str">
        <f>"PEPR Pendelleuchte, LED 7W, 2700K, schwarz"</f>
        <v>PEPR Pendelleuchte, LED 7W, 2700K, schwarz</v>
      </c>
      <c r="C1765" s="16">
        <v>65</v>
      </c>
      <c r="D1765" s="11">
        <v>93</v>
      </c>
      <c r="E1765" s="7">
        <f t="shared" si="83"/>
        <v>1</v>
      </c>
      <c r="F1765" s="22" t="str">
        <f>IF(ISERROR(VLOOKUP($A1765,#REF!,3,0)),"x",VLOOKUP($A1765,#REF!,3,FALSE))</f>
        <v>x</v>
      </c>
      <c r="G1765" s="9">
        <f t="shared" si="84"/>
        <v>1</v>
      </c>
      <c r="H1765" s="13">
        <f t="shared" si="85"/>
        <v>65</v>
      </c>
    </row>
    <row r="1766" spans="1:8" x14ac:dyDescent="0.25">
      <c r="A1766" s="2" t="str">
        <f>"PEPR-6WW12"</f>
        <v>PEPR-6WW12</v>
      </c>
      <c r="B1766" s="2" t="str">
        <f>"PEPR Schienenstrahler, LED 7W, 3000K, schwarz"</f>
        <v>PEPR Schienenstrahler, LED 7W, 3000K, schwarz</v>
      </c>
      <c r="C1766" s="16">
        <v>55</v>
      </c>
      <c r="D1766" s="11">
        <v>92</v>
      </c>
      <c r="E1766" s="7">
        <f t="shared" si="83"/>
        <v>1</v>
      </c>
      <c r="F1766" s="22" t="str">
        <f>IF(ISERROR(VLOOKUP($A1766,#REF!,3,0)),"x",VLOOKUP($A1766,#REF!,3,FALSE))</f>
        <v>x</v>
      </c>
      <c r="G1766" s="9">
        <f t="shared" si="84"/>
        <v>1</v>
      </c>
      <c r="H1766" s="13">
        <f t="shared" si="85"/>
        <v>55</v>
      </c>
    </row>
    <row r="1767" spans="1:8" x14ac:dyDescent="0.25">
      <c r="A1767" s="2" t="str">
        <f>"PEPR-6WW31"</f>
        <v>PEPR-6WW31</v>
      </c>
      <c r="B1767" s="2" t="str">
        <f>"PEPR Pendelleuchte, LED 7W, 3000K, weiss"</f>
        <v>PEPR Pendelleuchte, LED 7W, 3000K, weiss</v>
      </c>
      <c r="C1767" s="16">
        <v>65</v>
      </c>
      <c r="D1767" s="11">
        <v>93</v>
      </c>
      <c r="E1767" s="7">
        <f t="shared" si="83"/>
        <v>1</v>
      </c>
      <c r="F1767" s="22" t="str">
        <f>IF(ISERROR(VLOOKUP($A1767,#REF!,3,0)),"x",VLOOKUP($A1767,#REF!,3,FALSE))</f>
        <v>x</v>
      </c>
      <c r="G1767" s="9">
        <f t="shared" si="84"/>
        <v>1</v>
      </c>
      <c r="H1767" s="13">
        <f t="shared" si="85"/>
        <v>65</v>
      </c>
    </row>
    <row r="1768" spans="1:8" x14ac:dyDescent="0.25">
      <c r="A1768" s="2" t="str">
        <f>"PEPR-6WW32"</f>
        <v>PEPR-6WW32</v>
      </c>
      <c r="B1768" s="2" t="str">
        <f>"PEPR Pendelleuchte, LED 7W, 3000K, schwarz"</f>
        <v>PEPR Pendelleuchte, LED 7W, 3000K, schwarz</v>
      </c>
      <c r="C1768" s="16">
        <v>65</v>
      </c>
      <c r="D1768" s="11">
        <v>93</v>
      </c>
      <c r="E1768" s="7">
        <f t="shared" si="83"/>
        <v>1</v>
      </c>
      <c r="F1768" s="22" t="str">
        <f>IF(ISERROR(VLOOKUP($A1768,#REF!,3,0)),"x",VLOOKUP($A1768,#REF!,3,FALSE))</f>
        <v>x</v>
      </c>
      <c r="G1768" s="9">
        <f t="shared" si="84"/>
        <v>1</v>
      </c>
      <c r="H1768" s="13">
        <f t="shared" si="85"/>
        <v>65</v>
      </c>
    </row>
    <row r="1769" spans="1:8" x14ac:dyDescent="0.25">
      <c r="A1769" s="2" t="str">
        <f>"PEPR-7SW11"</f>
        <v>PEPR-7SW11</v>
      </c>
      <c r="B1769" s="2" t="str">
        <f>"PEPR Schienenstrahler, LED 7W, 2700K, weiss"</f>
        <v>PEPR Schienenstrahler, LED 7W, 2700K, weiss</v>
      </c>
      <c r="C1769" s="16">
        <v>90</v>
      </c>
      <c r="D1769" s="11">
        <v>92</v>
      </c>
      <c r="E1769" s="7">
        <f t="shared" si="83"/>
        <v>1</v>
      </c>
      <c r="F1769" s="22" t="str">
        <f>IF(ISERROR(VLOOKUP($A1769,#REF!,3,0)),"x",VLOOKUP($A1769,#REF!,3,FALSE))</f>
        <v>x</v>
      </c>
      <c r="G1769" s="9">
        <f t="shared" si="84"/>
        <v>1</v>
      </c>
      <c r="H1769" s="13">
        <f t="shared" si="85"/>
        <v>90</v>
      </c>
    </row>
    <row r="1770" spans="1:8" x14ac:dyDescent="0.25">
      <c r="A1770" s="2" t="str">
        <f>"PEPR-7SW12"</f>
        <v>PEPR-7SW12</v>
      </c>
      <c r="B1770" s="2" t="str">
        <f>"PEPR Schienenstrahler, LED 7W, 2700K, schwarz"</f>
        <v>PEPR Schienenstrahler, LED 7W, 2700K, schwarz</v>
      </c>
      <c r="C1770" s="16">
        <v>90</v>
      </c>
      <c r="D1770" s="11">
        <v>92</v>
      </c>
      <c r="E1770" s="7">
        <f t="shared" si="83"/>
        <v>1</v>
      </c>
      <c r="F1770" s="22" t="str">
        <f>IF(ISERROR(VLOOKUP($A1770,#REF!,3,0)),"x",VLOOKUP($A1770,#REF!,3,FALSE))</f>
        <v>x</v>
      </c>
      <c r="G1770" s="9">
        <f t="shared" si="84"/>
        <v>1</v>
      </c>
      <c r="H1770" s="13">
        <f t="shared" si="85"/>
        <v>90</v>
      </c>
    </row>
    <row r="1771" spans="1:8" x14ac:dyDescent="0.25">
      <c r="A1771" s="2" t="str">
        <f>"PEPR-7WW11"</f>
        <v>PEPR-7WW11</v>
      </c>
      <c r="B1771" s="2" t="str">
        <f>"PEPR Schienenstrahler, LED 7W, 3000K, weiss"</f>
        <v>PEPR Schienenstrahler, LED 7W, 3000K, weiss</v>
      </c>
      <c r="C1771" s="16">
        <v>90</v>
      </c>
      <c r="D1771" s="11">
        <v>92</v>
      </c>
      <c r="E1771" s="7">
        <f t="shared" si="83"/>
        <v>1</v>
      </c>
      <c r="F1771" s="22" t="str">
        <f>IF(ISERROR(VLOOKUP($A1771,#REF!,3,0)),"x",VLOOKUP($A1771,#REF!,3,FALSE))</f>
        <v>x</v>
      </c>
      <c r="G1771" s="9">
        <f t="shared" si="84"/>
        <v>1</v>
      </c>
      <c r="H1771" s="13">
        <f t="shared" si="85"/>
        <v>90</v>
      </c>
    </row>
    <row r="1772" spans="1:8" x14ac:dyDescent="0.25">
      <c r="A1772" s="2" t="str">
        <f>"PEPR-7WW12"</f>
        <v>PEPR-7WW12</v>
      </c>
      <c r="B1772" s="2" t="str">
        <f>"PEPR Schienenstrahler, LED 7W, 3000K, schwarz"</f>
        <v>PEPR Schienenstrahler, LED 7W, 3000K, schwarz</v>
      </c>
      <c r="C1772" s="16">
        <v>90</v>
      </c>
      <c r="D1772" s="11">
        <v>92</v>
      </c>
      <c r="E1772" s="7">
        <f t="shared" si="83"/>
        <v>1</v>
      </c>
      <c r="F1772" s="22" t="str">
        <f>IF(ISERROR(VLOOKUP($A1772,#REF!,3,0)),"x",VLOOKUP($A1772,#REF!,3,FALSE))</f>
        <v>x</v>
      </c>
      <c r="G1772" s="9">
        <f t="shared" si="84"/>
        <v>1</v>
      </c>
      <c r="H1772" s="13">
        <f t="shared" si="85"/>
        <v>90</v>
      </c>
    </row>
    <row r="1773" spans="1:8" x14ac:dyDescent="0.25">
      <c r="A1773" s="2" t="str">
        <f>"PEPR-7WW34L"</f>
        <v>PEPR-7WW34L</v>
      </c>
      <c r="B1773" s="2" t="str">
        <f>"PEPR Pendelleuchte mit Adapter, LED 7W, 3000K, L700mm, messing"</f>
        <v>PEPR Pendelleuchte mit Adapter, LED 7W, 3000K, L700mm, messing</v>
      </c>
      <c r="C1773" s="16">
        <v>110</v>
      </c>
      <c r="D1773" s="11">
        <v>93</v>
      </c>
      <c r="E1773" s="7">
        <f t="shared" si="83"/>
        <v>1</v>
      </c>
      <c r="F1773" s="22" t="str">
        <f>IF(ISERROR(VLOOKUP($A1773,#REF!,3,0)),"x",VLOOKUP($A1773,#REF!,3,FALSE))</f>
        <v>x</v>
      </c>
      <c r="G1773" s="9">
        <f t="shared" si="84"/>
        <v>1</v>
      </c>
      <c r="H1773" s="13">
        <f t="shared" si="85"/>
        <v>110</v>
      </c>
    </row>
    <row r="1774" spans="1:8" x14ac:dyDescent="0.25">
      <c r="A1774" s="2" t="str">
        <f>"PEPS-7WW2"</f>
        <v>PEPS-7WW2</v>
      </c>
      <c r="B1774" s="2" t="str">
        <f>"PEP LED Lichteinsatz, schwenkbar, 7,5W, 36°, 3000K, schwarz"</f>
        <v>PEP LED Lichteinsatz, schwenkbar, 7,5W, 36°, 3000K, schwarz</v>
      </c>
      <c r="C1774" s="16">
        <v>130</v>
      </c>
      <c r="D1774" s="11">
        <v>102</v>
      </c>
      <c r="E1774" s="7">
        <f t="shared" si="83"/>
        <v>1</v>
      </c>
      <c r="F1774" s="22" t="str">
        <f>IF(ISERROR(VLOOKUP($A1774,#REF!,3,0)),"x",VLOOKUP($A1774,#REF!,3,FALSE))</f>
        <v>x</v>
      </c>
      <c r="G1774" s="9">
        <f t="shared" si="84"/>
        <v>1</v>
      </c>
      <c r="H1774" s="13">
        <f t="shared" si="85"/>
        <v>130</v>
      </c>
    </row>
    <row r="1775" spans="1:8" x14ac:dyDescent="0.25">
      <c r="A1775" s="2" t="str">
        <f>"PIN-A-2"</f>
        <v>PIN-A-2</v>
      </c>
      <c r="B1775" s="2" t="str">
        <f>"PINLED Profilblindabdeckung ALU, 2,02m"</f>
        <v>PINLED Profilblindabdeckung ALU, 2,02m</v>
      </c>
      <c r="C1775" s="16">
        <v>22.5</v>
      </c>
      <c r="D1775" s="11">
        <v>218</v>
      </c>
      <c r="E1775" s="7">
        <f t="shared" si="83"/>
        <v>1</v>
      </c>
      <c r="F1775" s="22" t="str">
        <f>IF(ISERROR(VLOOKUP($A1775,#REF!,3,0)),"x",VLOOKUP($A1775,#REF!,3,FALSE))</f>
        <v>x</v>
      </c>
      <c r="G1775" s="9">
        <f t="shared" si="84"/>
        <v>1</v>
      </c>
      <c r="H1775" s="13">
        <f t="shared" si="85"/>
        <v>22.5</v>
      </c>
    </row>
    <row r="1776" spans="1:8" x14ac:dyDescent="0.25">
      <c r="A1776" s="2" t="str">
        <f>"PIN-A-2O"</f>
        <v>PIN-A-2O</v>
      </c>
      <c r="B1776" s="2" t="str">
        <f>"PINLED, Profilabdeckung Kunstoff, opal, flach, 2,02m"</f>
        <v>PINLED, Profilabdeckung Kunstoff, opal, flach, 2,02m</v>
      </c>
      <c r="C1776" s="16">
        <v>22.5</v>
      </c>
      <c r="D1776" s="11">
        <v>218</v>
      </c>
      <c r="E1776" s="7">
        <f t="shared" si="83"/>
        <v>1</v>
      </c>
      <c r="F1776" s="22" t="str">
        <f>IF(ISERROR(VLOOKUP($A1776,#REF!,3,0)),"x",VLOOKUP($A1776,#REF!,3,FALSE))</f>
        <v>x</v>
      </c>
      <c r="G1776" s="9">
        <f t="shared" si="84"/>
        <v>1</v>
      </c>
      <c r="H1776" s="13">
        <f t="shared" si="85"/>
        <v>22.5</v>
      </c>
    </row>
    <row r="1777" spans="1:8" x14ac:dyDescent="0.25">
      <c r="A1777" s="2" t="str">
        <f>"PIN-A-2OQ"</f>
        <v>PIN-A-2OQ</v>
      </c>
      <c r="B1777" s="2" t="str">
        <f>"PINLED Profilabdeckung Kunstoff, opal, quadratisch hoch 2,02m"</f>
        <v>PINLED Profilabdeckung Kunstoff, opal, quadratisch hoch 2,02m</v>
      </c>
      <c r="C1777" s="16">
        <v>36.5</v>
      </c>
      <c r="D1777" s="11">
        <v>218</v>
      </c>
      <c r="E1777" s="7">
        <f t="shared" si="83"/>
        <v>1</v>
      </c>
      <c r="F1777" s="22" t="str">
        <f>IF(ISERROR(VLOOKUP($A1777,#REF!,3,0)),"x",VLOOKUP($A1777,#REF!,3,FALSE))</f>
        <v>x</v>
      </c>
      <c r="G1777" s="9">
        <f t="shared" si="84"/>
        <v>1</v>
      </c>
      <c r="H1777" s="13">
        <f t="shared" si="85"/>
        <v>36.5</v>
      </c>
    </row>
    <row r="1778" spans="1:8" x14ac:dyDescent="0.25">
      <c r="A1778" s="2" t="str">
        <f>"PIN-A-2OR"</f>
        <v>PIN-A-2OR</v>
      </c>
      <c r="B1778" s="2" t="str">
        <f>"PINLED Profilabdeckung Kunstoff, opal, rund hoch 2,02m"</f>
        <v>PINLED Profilabdeckung Kunstoff, opal, rund hoch 2,02m</v>
      </c>
      <c r="C1778" s="16">
        <v>36.5</v>
      </c>
      <c r="D1778" s="11">
        <v>218</v>
      </c>
      <c r="E1778" s="7">
        <f t="shared" si="83"/>
        <v>1</v>
      </c>
      <c r="F1778" s="22" t="str">
        <f>IF(ISERROR(VLOOKUP($A1778,#REF!,3,0)),"x",VLOOKUP($A1778,#REF!,3,FALSE))</f>
        <v>x</v>
      </c>
      <c r="G1778" s="9">
        <f t="shared" si="84"/>
        <v>1</v>
      </c>
      <c r="H1778" s="13">
        <f t="shared" si="85"/>
        <v>36.5</v>
      </c>
    </row>
    <row r="1779" spans="1:8" x14ac:dyDescent="0.25">
      <c r="A1779" s="2" t="str">
        <f>"PIN-A-5"</f>
        <v>PIN-A-5</v>
      </c>
      <c r="B1779" s="2" t="str">
        <f>"PINLED Profilblindabdeckung ALU, 5 m"</f>
        <v>PINLED Profilblindabdeckung ALU, 5 m</v>
      </c>
      <c r="C1779" s="16">
        <v>50</v>
      </c>
      <c r="D1779" s="11">
        <v>218</v>
      </c>
      <c r="E1779" s="7">
        <f t="shared" si="83"/>
        <v>1</v>
      </c>
      <c r="F1779" s="22" t="str">
        <f>IF(ISERROR(VLOOKUP($A1779,#REF!,3,0)),"x",VLOOKUP($A1779,#REF!,3,FALSE))</f>
        <v>x</v>
      </c>
      <c r="G1779" s="9">
        <f t="shared" si="84"/>
        <v>1</v>
      </c>
      <c r="H1779" s="13">
        <f t="shared" si="85"/>
        <v>50</v>
      </c>
    </row>
    <row r="1780" spans="1:8" x14ac:dyDescent="0.25">
      <c r="A1780" s="2" t="str">
        <f>"PIN-A-5O"</f>
        <v>PIN-A-5O</v>
      </c>
      <c r="B1780" s="2" t="str">
        <f>"PIN Profil PMMA, ca. 5010 lang, flach, satiniert"</f>
        <v>PIN Profil PMMA, ca. 5010 lang, flach, satiniert</v>
      </c>
      <c r="C1780" s="16">
        <v>50</v>
      </c>
      <c r="D1780" s="11">
        <v>218</v>
      </c>
      <c r="E1780" s="7">
        <f t="shared" si="83"/>
        <v>1</v>
      </c>
      <c r="F1780" s="22" t="str">
        <f>IF(ISERROR(VLOOKUP($A1780,#REF!,3,0)),"x",VLOOKUP($A1780,#REF!,3,FALSE))</f>
        <v>x</v>
      </c>
      <c r="G1780" s="9">
        <f t="shared" si="84"/>
        <v>1</v>
      </c>
      <c r="H1780" s="13">
        <f t="shared" si="85"/>
        <v>50</v>
      </c>
    </row>
    <row r="1781" spans="1:8" x14ac:dyDescent="0.25">
      <c r="A1781" s="2" t="str">
        <f>"PIN-A-5OQ"</f>
        <v>PIN-A-5OQ</v>
      </c>
      <c r="B1781" s="2" t="str">
        <f>"PINLED Profilabdeckung Kunstoff, opal, quadratisch hoch 5,01m"</f>
        <v>PINLED Profilabdeckung Kunstoff, opal, quadratisch hoch 5,01m</v>
      </c>
      <c r="C1781" s="16">
        <v>65</v>
      </c>
      <c r="D1781" s="11">
        <v>218</v>
      </c>
      <c r="E1781" s="7">
        <f t="shared" si="83"/>
        <v>1</v>
      </c>
      <c r="F1781" s="22" t="str">
        <f>IF(ISERROR(VLOOKUP($A1781,#REF!,3,0)),"x",VLOOKUP($A1781,#REF!,3,FALSE))</f>
        <v>x</v>
      </c>
      <c r="G1781" s="9">
        <f t="shared" si="84"/>
        <v>1</v>
      </c>
      <c r="H1781" s="13">
        <f t="shared" si="85"/>
        <v>65</v>
      </c>
    </row>
    <row r="1782" spans="1:8" x14ac:dyDescent="0.25">
      <c r="A1782" s="2" t="str">
        <f>"PIN-A-5OR"</f>
        <v>PIN-A-5OR</v>
      </c>
      <c r="B1782" s="2" t="str">
        <f>"PINLED Profilabdeckung Kunstoff, opal, rund hoch 5,01m"</f>
        <v>PINLED Profilabdeckung Kunstoff, opal, rund hoch 5,01m</v>
      </c>
      <c r="C1782" s="16">
        <v>65</v>
      </c>
      <c r="D1782" s="11">
        <v>218</v>
      </c>
      <c r="E1782" s="7">
        <f t="shared" si="83"/>
        <v>1</v>
      </c>
      <c r="F1782" s="22" t="str">
        <f>IF(ISERROR(VLOOKUP($A1782,#REF!,3,0)),"x",VLOOKUP($A1782,#REF!,3,FALSE))</f>
        <v>x</v>
      </c>
      <c r="G1782" s="9">
        <f t="shared" si="84"/>
        <v>1</v>
      </c>
      <c r="H1782" s="13">
        <f t="shared" si="85"/>
        <v>65</v>
      </c>
    </row>
    <row r="1783" spans="1:8" x14ac:dyDescent="0.25">
      <c r="A1783" s="2" t="str">
        <f>"PIN-EK7"</f>
        <v>PIN-EK7</v>
      </c>
      <c r="B1783" s="2" t="str">
        <f>"PINLED Endkappe, eckig, 1 Stück, alugrau"</f>
        <v>PINLED Endkappe, eckig, 1 Stück, alugrau</v>
      </c>
      <c r="C1783" s="16">
        <v>10.5</v>
      </c>
      <c r="D1783" s="11">
        <v>218</v>
      </c>
      <c r="E1783" s="7">
        <f t="shared" si="83"/>
        <v>1</v>
      </c>
      <c r="F1783" s="22" t="str">
        <f>IF(ISERROR(VLOOKUP($A1783,#REF!,3,0)),"x",VLOOKUP($A1783,#REF!,3,FALSE))</f>
        <v>x</v>
      </c>
      <c r="G1783" s="9">
        <f t="shared" si="84"/>
        <v>1</v>
      </c>
      <c r="H1783" s="13">
        <f t="shared" si="85"/>
        <v>10.5</v>
      </c>
    </row>
    <row r="1784" spans="1:8" x14ac:dyDescent="0.25">
      <c r="A1784" s="2" t="str">
        <f>"PIN-EKE7"</f>
        <v>PIN-EKE7</v>
      </c>
      <c r="B1784" s="2" t="str">
        <f>"PINLED Endkappe, eckig, 1 Stück, alugrau"</f>
        <v>PINLED Endkappe, eckig, 1 Stück, alugrau</v>
      </c>
      <c r="C1784" s="16">
        <v>10.5</v>
      </c>
      <c r="D1784" s="11">
        <v>218</v>
      </c>
      <c r="E1784" s="7">
        <f t="shared" si="83"/>
        <v>1</v>
      </c>
      <c r="F1784" s="22" t="str">
        <f>IF(ISERROR(VLOOKUP($A1784,#REF!,3,0)),"x",VLOOKUP($A1784,#REF!,3,FALSE))</f>
        <v>x</v>
      </c>
      <c r="G1784" s="9">
        <f t="shared" si="84"/>
        <v>1</v>
      </c>
      <c r="H1784" s="13">
        <f t="shared" si="85"/>
        <v>10.5</v>
      </c>
    </row>
    <row r="1785" spans="1:8" x14ac:dyDescent="0.25">
      <c r="A1785" s="2" t="str">
        <f>"PIN-EKR7"</f>
        <v>PIN-EKR7</v>
      </c>
      <c r="B1785" s="2" t="str">
        <f>"PINLED Endkappe, rund, 1 Stück, alugrau"</f>
        <v>PINLED Endkappe, rund, 1 Stück, alugrau</v>
      </c>
      <c r="C1785" s="16">
        <v>10.5</v>
      </c>
      <c r="D1785" s="11">
        <v>218</v>
      </c>
      <c r="E1785" s="7">
        <f t="shared" si="83"/>
        <v>1</v>
      </c>
      <c r="F1785" s="22" t="str">
        <f>IF(ISERROR(VLOOKUP($A1785,#REF!,3,0)),"x",VLOOKUP($A1785,#REF!,3,FALSE))</f>
        <v>x</v>
      </c>
      <c r="G1785" s="9">
        <f t="shared" si="84"/>
        <v>1</v>
      </c>
      <c r="H1785" s="13">
        <f t="shared" si="85"/>
        <v>10.5</v>
      </c>
    </row>
    <row r="1786" spans="1:8" x14ac:dyDescent="0.25">
      <c r="A1786" s="2" t="str">
        <f>"PIN-P-2"</f>
        <v>PIN-P-2</v>
      </c>
      <c r="B1786" s="2" t="str">
        <f>"PINLED U-Profil Aluminium eloxiert 2m"</f>
        <v>PINLED U-Profil Aluminium eloxiert 2m</v>
      </c>
      <c r="C1786" s="16">
        <v>39.75</v>
      </c>
      <c r="D1786" s="11">
        <v>218</v>
      </c>
      <c r="E1786" s="7">
        <f t="shared" si="83"/>
        <v>1</v>
      </c>
      <c r="F1786" s="22" t="str">
        <f>IF(ISERROR(VLOOKUP($A1786,#REF!,3,0)),"x",VLOOKUP($A1786,#REF!,3,FALSE))</f>
        <v>x</v>
      </c>
      <c r="G1786" s="9">
        <f t="shared" si="84"/>
        <v>1</v>
      </c>
      <c r="H1786" s="13">
        <f t="shared" si="85"/>
        <v>39.75</v>
      </c>
    </row>
    <row r="1787" spans="1:8" x14ac:dyDescent="0.25">
      <c r="A1787" s="2" t="str">
        <f>"PIN-P-5"</f>
        <v>PIN-P-5</v>
      </c>
      <c r="B1787" s="2" t="str">
        <f>"PINLED U-Profil Aluminium eloxiert 5m"</f>
        <v>PINLED U-Profil Aluminium eloxiert 5m</v>
      </c>
      <c r="C1787" s="16">
        <v>87.5</v>
      </c>
      <c r="D1787" s="11">
        <v>218</v>
      </c>
      <c r="E1787" s="7">
        <f t="shared" si="83"/>
        <v>1</v>
      </c>
      <c r="F1787" s="22" t="str">
        <f>IF(ISERROR(VLOOKUP($A1787,#REF!,3,0)),"x",VLOOKUP($A1787,#REF!,3,FALSE))</f>
        <v>x</v>
      </c>
      <c r="G1787" s="9">
        <f t="shared" si="84"/>
        <v>1</v>
      </c>
      <c r="H1787" s="13">
        <f t="shared" si="85"/>
        <v>87.5</v>
      </c>
    </row>
    <row r="1788" spans="1:8" x14ac:dyDescent="0.25">
      <c r="A1788" s="2" t="str">
        <f>"PINE-1200NW"</f>
        <v>PINE-1200NW</v>
      </c>
      <c r="B1788" s="2" t="str">
        <f>"PINLED Spiegelleuchte LED 32W, 4000K, Abdeckung eckig, Länge 1200mm"</f>
        <v>PINLED Spiegelleuchte LED 32W, 4000K, Abdeckung eckig, Länge 1200mm</v>
      </c>
      <c r="C1788" s="16">
        <v>228.25</v>
      </c>
      <c r="D1788" s="11">
        <v>83</v>
      </c>
      <c r="E1788" s="7">
        <f t="shared" si="83"/>
        <v>1</v>
      </c>
      <c r="F1788" s="22" t="str">
        <f>IF(ISERROR(VLOOKUP($A1788,#REF!,3,0)),"x",VLOOKUP($A1788,#REF!,3,FALSE))</f>
        <v>x</v>
      </c>
      <c r="G1788" s="9">
        <f t="shared" si="84"/>
        <v>1</v>
      </c>
      <c r="H1788" s="13">
        <f t="shared" si="85"/>
        <v>228.25</v>
      </c>
    </row>
    <row r="1789" spans="1:8" x14ac:dyDescent="0.25">
      <c r="A1789" s="2" t="str">
        <f>"PINE-1200SW"</f>
        <v>PINE-1200SW</v>
      </c>
      <c r="B1789" s="2" t="str">
        <f>"PINLED Spiegelleuchte, LED 32W, 2700K, Abdeckung eckig, Länge 1200 mm"</f>
        <v>PINLED Spiegelleuchte, LED 32W, 2700K, Abdeckung eckig, Länge 1200 mm</v>
      </c>
      <c r="C1789" s="16">
        <v>228.25</v>
      </c>
      <c r="D1789" s="11">
        <v>83</v>
      </c>
      <c r="E1789" s="7">
        <f t="shared" si="83"/>
        <v>1</v>
      </c>
      <c r="F1789" s="22" t="str">
        <f>IF(ISERROR(VLOOKUP($A1789,#REF!,3,0)),"x",VLOOKUP($A1789,#REF!,3,FALSE))</f>
        <v>x</v>
      </c>
      <c r="G1789" s="9">
        <f t="shared" si="84"/>
        <v>1</v>
      </c>
      <c r="H1789" s="13">
        <f t="shared" si="85"/>
        <v>228.25</v>
      </c>
    </row>
    <row r="1790" spans="1:8" x14ac:dyDescent="0.25">
      <c r="A1790" s="2" t="str">
        <f>"PINE-1200WW"</f>
        <v>PINE-1200WW</v>
      </c>
      <c r="B1790" s="2" t="str">
        <f>"PINLED Spiegelleuchte, LED 32W, 3000K, Abdeck.eckig, Länge 1200mm"</f>
        <v>PINLED Spiegelleuchte, LED 32W, 3000K, Abdeck.eckig, Länge 1200mm</v>
      </c>
      <c r="C1790" s="16">
        <v>228.25</v>
      </c>
      <c r="D1790" s="11">
        <v>83</v>
      </c>
      <c r="E1790" s="7">
        <f t="shared" si="83"/>
        <v>1</v>
      </c>
      <c r="F1790" s="22" t="str">
        <f>IF(ISERROR(VLOOKUP($A1790,#REF!,3,0)),"x",VLOOKUP($A1790,#REF!,3,FALSE))</f>
        <v>x</v>
      </c>
      <c r="G1790" s="9">
        <f t="shared" si="84"/>
        <v>1</v>
      </c>
      <c r="H1790" s="13">
        <f t="shared" si="85"/>
        <v>228.25</v>
      </c>
    </row>
    <row r="1791" spans="1:8" x14ac:dyDescent="0.25">
      <c r="A1791" s="2" t="str">
        <f>"PINE-1500NW"</f>
        <v>PINE-1500NW</v>
      </c>
      <c r="B1791" s="2" t="str">
        <f>"PINLED Spiegelleuchte LED 39W, 4000K, Abdeckung eckig, Länge 1500mm"</f>
        <v>PINLED Spiegelleuchte LED 39W, 4000K, Abdeckung eckig, Länge 1500mm</v>
      </c>
      <c r="C1791" s="16">
        <v>258</v>
      </c>
      <c r="D1791" s="11">
        <v>83</v>
      </c>
      <c r="E1791" s="7">
        <f t="shared" si="83"/>
        <v>1</v>
      </c>
      <c r="F1791" s="22" t="str">
        <f>IF(ISERROR(VLOOKUP($A1791,#REF!,3,0)),"x",VLOOKUP($A1791,#REF!,3,FALSE))</f>
        <v>x</v>
      </c>
      <c r="G1791" s="9">
        <f t="shared" si="84"/>
        <v>1</v>
      </c>
      <c r="H1791" s="13">
        <f t="shared" si="85"/>
        <v>258</v>
      </c>
    </row>
    <row r="1792" spans="1:8" x14ac:dyDescent="0.25">
      <c r="A1792" s="2" t="str">
        <f>"PINE-1500SW"</f>
        <v>PINE-1500SW</v>
      </c>
      <c r="B1792" s="2" t="str">
        <f>"PINLED Spiegelleuchte, LED 39W, 2700K, Abdeckungb eckig, Länge 1500 mm"</f>
        <v>PINLED Spiegelleuchte, LED 39W, 2700K, Abdeckungb eckig, Länge 1500 mm</v>
      </c>
      <c r="C1792" s="16">
        <v>258</v>
      </c>
      <c r="D1792" s="11">
        <v>83</v>
      </c>
      <c r="E1792" s="7">
        <f t="shared" si="83"/>
        <v>1</v>
      </c>
      <c r="F1792" s="22" t="str">
        <f>IF(ISERROR(VLOOKUP($A1792,#REF!,3,0)),"x",VLOOKUP($A1792,#REF!,3,FALSE))</f>
        <v>x</v>
      </c>
      <c r="G1792" s="9">
        <f t="shared" si="84"/>
        <v>1</v>
      </c>
      <c r="H1792" s="13">
        <f t="shared" si="85"/>
        <v>258</v>
      </c>
    </row>
    <row r="1793" spans="1:8" x14ac:dyDescent="0.25">
      <c r="A1793" s="2" t="str">
        <f>"PINE-1500WW"</f>
        <v>PINE-1500WW</v>
      </c>
      <c r="B1793" s="2" t="str">
        <f>"PINLED Spiegelleuchte, LED 39W, 3000K, Abdeckung eckig, Länge 1500 mm"</f>
        <v>PINLED Spiegelleuchte, LED 39W, 3000K, Abdeckung eckig, Länge 1500 mm</v>
      </c>
      <c r="C1793" s="16">
        <v>258</v>
      </c>
      <c r="D1793" s="11">
        <v>83</v>
      </c>
      <c r="E1793" s="7">
        <f t="shared" si="83"/>
        <v>1</v>
      </c>
      <c r="F1793" s="22" t="str">
        <f>IF(ISERROR(VLOOKUP($A1793,#REF!,3,0)),"x",VLOOKUP($A1793,#REF!,3,FALSE))</f>
        <v>x</v>
      </c>
      <c r="G1793" s="9">
        <f t="shared" si="84"/>
        <v>1</v>
      </c>
      <c r="H1793" s="13">
        <f t="shared" si="85"/>
        <v>258</v>
      </c>
    </row>
    <row r="1794" spans="1:8" x14ac:dyDescent="0.25">
      <c r="A1794" s="2" t="str">
        <f>"PINE-600NW"</f>
        <v>PINE-600NW</v>
      </c>
      <c r="B1794" s="2" t="str">
        <f>"PINLED Spiegelleuchte, LED 16W, 4000K, Abdeckung eckig, Länge 600 mm"</f>
        <v>PINLED Spiegelleuchte, LED 16W, 4000K, Abdeckung eckig, Länge 600 mm</v>
      </c>
      <c r="C1794" s="16">
        <v>192.25</v>
      </c>
      <c r="D1794" s="11">
        <v>83</v>
      </c>
      <c r="E1794" s="7">
        <f t="shared" si="83"/>
        <v>1</v>
      </c>
      <c r="F1794" s="22" t="str">
        <f>IF(ISERROR(VLOOKUP($A1794,#REF!,3,0)),"x",VLOOKUP($A1794,#REF!,3,FALSE))</f>
        <v>x</v>
      </c>
      <c r="G1794" s="9">
        <f t="shared" si="84"/>
        <v>1</v>
      </c>
      <c r="H1794" s="13">
        <f t="shared" si="85"/>
        <v>192.25</v>
      </c>
    </row>
    <row r="1795" spans="1:8" x14ac:dyDescent="0.25">
      <c r="A1795" s="2" t="str">
        <f>"PINE-600SW"</f>
        <v>PINE-600SW</v>
      </c>
      <c r="B1795" s="2" t="str">
        <f>"PINLED Spiegelleuchte, LED 16W, 2700K, Abdeckung eckig, Länge 600 mm"</f>
        <v>PINLED Spiegelleuchte, LED 16W, 2700K, Abdeckung eckig, Länge 600 mm</v>
      </c>
      <c r="C1795" s="16">
        <v>192.25</v>
      </c>
      <c r="D1795" s="11">
        <v>83</v>
      </c>
      <c r="E1795" s="7">
        <f t="shared" ref="E1795:E1858" si="86">G1795</f>
        <v>1</v>
      </c>
      <c r="F1795" s="22" t="str">
        <f>IF(ISERROR(VLOOKUP($A1795,#REF!,3,0)),"x",VLOOKUP($A1795,#REF!,3,FALSE))</f>
        <v>x</v>
      </c>
      <c r="G1795" s="9">
        <f t="shared" ref="G1795:G1858" si="87">IF(C1795&lt;F1795,1,IF(C1795&gt;F1795,-1,0))</f>
        <v>1</v>
      </c>
      <c r="H1795" s="13">
        <f t="shared" si="85"/>
        <v>192.25</v>
      </c>
    </row>
    <row r="1796" spans="1:8" x14ac:dyDescent="0.25">
      <c r="A1796" s="2" t="str">
        <f>"PINE-600WW"</f>
        <v>PINE-600WW</v>
      </c>
      <c r="B1796" s="2" t="str">
        <f>"PINLED Spiegelleuchte, LED 16W, 3000K, Abdeckung eckig, Länge 600 mm"</f>
        <v>PINLED Spiegelleuchte, LED 16W, 3000K, Abdeckung eckig, Länge 600 mm</v>
      </c>
      <c r="C1796" s="16">
        <v>192.25</v>
      </c>
      <c r="D1796" s="11">
        <v>83</v>
      </c>
      <c r="E1796" s="7">
        <f t="shared" si="86"/>
        <v>1</v>
      </c>
      <c r="F1796" s="22" t="str">
        <f>IF(ISERROR(VLOOKUP($A1796,#REF!,3,0)),"x",VLOOKUP($A1796,#REF!,3,FALSE))</f>
        <v>x</v>
      </c>
      <c r="G1796" s="9">
        <f t="shared" si="87"/>
        <v>1</v>
      </c>
      <c r="H1796" s="13">
        <f t="shared" si="85"/>
        <v>192.25</v>
      </c>
    </row>
    <row r="1797" spans="1:8" x14ac:dyDescent="0.25">
      <c r="A1797" s="2" t="str">
        <f>"PINE-900NW"</f>
        <v>PINE-900NW</v>
      </c>
      <c r="B1797" s="2" t="str">
        <f>"PINLED Spiegelleuchte, LED  25W, 4000K, Abdeckung eckig, Länge 900 mm"</f>
        <v>PINLED Spiegelleuchte, LED  25W, 4000K, Abdeckung eckig, Länge 900 mm</v>
      </c>
      <c r="C1797" s="16">
        <v>213.75</v>
      </c>
      <c r="D1797" s="11">
        <v>83</v>
      </c>
      <c r="E1797" s="7">
        <f t="shared" si="86"/>
        <v>1</v>
      </c>
      <c r="F1797" s="22" t="str">
        <f>IF(ISERROR(VLOOKUP($A1797,#REF!,3,0)),"x",VLOOKUP($A1797,#REF!,3,FALSE))</f>
        <v>x</v>
      </c>
      <c r="G1797" s="9">
        <f t="shared" si="87"/>
        <v>1</v>
      </c>
      <c r="H1797" s="13">
        <f t="shared" ref="H1797:H1860" si="88">IF(F1797="x",C1797,F1797)</f>
        <v>213.75</v>
      </c>
    </row>
    <row r="1798" spans="1:8" x14ac:dyDescent="0.25">
      <c r="A1798" s="2" t="str">
        <f>"PINE-900SW"</f>
        <v>PINE-900SW</v>
      </c>
      <c r="B1798" s="2" t="str">
        <f>"PINLED Spiegelleuchte, LED 25W, 2700K, Abdeckung eckig, Länge 900 mm"</f>
        <v>PINLED Spiegelleuchte, LED 25W, 2700K, Abdeckung eckig, Länge 900 mm</v>
      </c>
      <c r="C1798" s="16">
        <v>213.75</v>
      </c>
      <c r="D1798" s="11">
        <v>83</v>
      </c>
      <c r="E1798" s="7">
        <f t="shared" si="86"/>
        <v>1</v>
      </c>
      <c r="F1798" s="22" t="str">
        <f>IF(ISERROR(VLOOKUP($A1798,#REF!,3,0)),"x",VLOOKUP($A1798,#REF!,3,FALSE))</f>
        <v>x</v>
      </c>
      <c r="G1798" s="9">
        <f t="shared" si="87"/>
        <v>1</v>
      </c>
      <c r="H1798" s="13">
        <f t="shared" si="88"/>
        <v>213.75</v>
      </c>
    </row>
    <row r="1799" spans="1:8" x14ac:dyDescent="0.25">
      <c r="A1799" s="2" t="str">
        <f>"PINE-900WW"</f>
        <v>PINE-900WW</v>
      </c>
      <c r="B1799" s="2" t="str">
        <f>"PINLED Spiegelleuchte, LED 25W, 3000K, Abdeckung eckig, Länge 900 mm"</f>
        <v>PINLED Spiegelleuchte, LED 25W, 3000K, Abdeckung eckig, Länge 900 mm</v>
      </c>
      <c r="C1799" s="16">
        <v>213.75</v>
      </c>
      <c r="D1799" s="11">
        <v>83</v>
      </c>
      <c r="E1799" s="7">
        <f t="shared" si="86"/>
        <v>1</v>
      </c>
      <c r="F1799" s="22" t="str">
        <f>IF(ISERROR(VLOOKUP($A1799,#REF!,3,0)),"x",VLOOKUP($A1799,#REF!,3,FALSE))</f>
        <v>x</v>
      </c>
      <c r="G1799" s="9">
        <f t="shared" si="87"/>
        <v>1</v>
      </c>
      <c r="H1799" s="13">
        <f t="shared" si="88"/>
        <v>213.75</v>
      </c>
    </row>
    <row r="1800" spans="1:8" x14ac:dyDescent="0.25">
      <c r="A1800" s="2" t="str">
        <f>"PINR-1200NW"</f>
        <v>PINR-1200NW</v>
      </c>
      <c r="B1800" s="2" t="str">
        <f>"PINLED Spiegelleuchte, LED 32W, 4000K, Abdeckung rund, Länge 1200mm"</f>
        <v>PINLED Spiegelleuchte, LED 32W, 4000K, Abdeckung rund, Länge 1200mm</v>
      </c>
      <c r="C1800" s="16">
        <v>228.25</v>
      </c>
      <c r="D1800" s="11">
        <v>83</v>
      </c>
      <c r="E1800" s="7">
        <f t="shared" si="86"/>
        <v>1</v>
      </c>
      <c r="F1800" s="22" t="str">
        <f>IF(ISERROR(VLOOKUP($A1800,#REF!,3,0)),"x",VLOOKUP($A1800,#REF!,3,FALSE))</f>
        <v>x</v>
      </c>
      <c r="G1800" s="9">
        <f t="shared" si="87"/>
        <v>1</v>
      </c>
      <c r="H1800" s="13">
        <f t="shared" si="88"/>
        <v>228.25</v>
      </c>
    </row>
    <row r="1801" spans="1:8" x14ac:dyDescent="0.25">
      <c r="A1801" s="2" t="str">
        <f>"PINR-1200SW"</f>
        <v>PINR-1200SW</v>
      </c>
      <c r="B1801" s="2" t="str">
        <f>"PINLED Spiegelleuchte, LED 32W, 2700K, Abdeckung rund, Länge 1200mm"</f>
        <v>PINLED Spiegelleuchte, LED 32W, 2700K, Abdeckung rund, Länge 1200mm</v>
      </c>
      <c r="C1801" s="16">
        <v>228.25</v>
      </c>
      <c r="D1801" s="11">
        <v>83</v>
      </c>
      <c r="E1801" s="7">
        <f t="shared" si="86"/>
        <v>1</v>
      </c>
      <c r="F1801" s="22" t="str">
        <f>IF(ISERROR(VLOOKUP($A1801,#REF!,3,0)),"x",VLOOKUP($A1801,#REF!,3,FALSE))</f>
        <v>x</v>
      </c>
      <c r="G1801" s="9">
        <f t="shared" si="87"/>
        <v>1</v>
      </c>
      <c r="H1801" s="13">
        <f t="shared" si="88"/>
        <v>228.25</v>
      </c>
    </row>
    <row r="1802" spans="1:8" x14ac:dyDescent="0.25">
      <c r="A1802" s="2" t="str">
        <f>"PINR-1200WW"</f>
        <v>PINR-1200WW</v>
      </c>
      <c r="B1802" s="2" t="str">
        <f>"PINLED Spiegelleuchte, LED 32W, 3000K, Abdeckung rund, Länge 1200mm"</f>
        <v>PINLED Spiegelleuchte, LED 32W, 3000K, Abdeckung rund, Länge 1200mm</v>
      </c>
      <c r="C1802" s="16">
        <v>228.25</v>
      </c>
      <c r="D1802" s="11">
        <v>83</v>
      </c>
      <c r="E1802" s="7">
        <f t="shared" si="86"/>
        <v>1</v>
      </c>
      <c r="F1802" s="22" t="str">
        <f>IF(ISERROR(VLOOKUP($A1802,#REF!,3,0)),"x",VLOOKUP($A1802,#REF!,3,FALSE))</f>
        <v>x</v>
      </c>
      <c r="G1802" s="9">
        <f t="shared" si="87"/>
        <v>1</v>
      </c>
      <c r="H1802" s="13">
        <f t="shared" si="88"/>
        <v>228.25</v>
      </c>
    </row>
    <row r="1803" spans="1:8" x14ac:dyDescent="0.25">
      <c r="A1803" s="2" t="str">
        <f>"PINR-1500NW"</f>
        <v>PINR-1500NW</v>
      </c>
      <c r="B1803" s="2" t="str">
        <f>"PINLED Spiegelleuchte, LED 39W, 4000K, Abdeckung rund, Länge 1500mm"</f>
        <v>PINLED Spiegelleuchte, LED 39W, 4000K, Abdeckung rund, Länge 1500mm</v>
      </c>
      <c r="C1803" s="16">
        <v>258</v>
      </c>
      <c r="D1803" s="11">
        <v>83</v>
      </c>
      <c r="E1803" s="7">
        <f t="shared" si="86"/>
        <v>1</v>
      </c>
      <c r="F1803" s="22" t="str">
        <f>IF(ISERROR(VLOOKUP($A1803,#REF!,3,0)),"x",VLOOKUP($A1803,#REF!,3,FALSE))</f>
        <v>x</v>
      </c>
      <c r="G1803" s="9">
        <f t="shared" si="87"/>
        <v>1</v>
      </c>
      <c r="H1803" s="13">
        <f t="shared" si="88"/>
        <v>258</v>
      </c>
    </row>
    <row r="1804" spans="1:8" x14ac:dyDescent="0.25">
      <c r="A1804" s="2" t="str">
        <f>"PINR-1500SW"</f>
        <v>PINR-1500SW</v>
      </c>
      <c r="B1804" s="2" t="str">
        <f>"PINLED Spiegelleuchte, LED 39W, 2700K, Abdeckung rund, Länge 1500mm"</f>
        <v>PINLED Spiegelleuchte, LED 39W, 2700K, Abdeckung rund, Länge 1500mm</v>
      </c>
      <c r="C1804" s="16">
        <v>258</v>
      </c>
      <c r="D1804" s="11">
        <v>83</v>
      </c>
      <c r="E1804" s="7">
        <f t="shared" si="86"/>
        <v>1</v>
      </c>
      <c r="F1804" s="22" t="str">
        <f>IF(ISERROR(VLOOKUP($A1804,#REF!,3,0)),"x",VLOOKUP($A1804,#REF!,3,FALSE))</f>
        <v>x</v>
      </c>
      <c r="G1804" s="9">
        <f t="shared" si="87"/>
        <v>1</v>
      </c>
      <c r="H1804" s="13">
        <f t="shared" si="88"/>
        <v>258</v>
      </c>
    </row>
    <row r="1805" spans="1:8" x14ac:dyDescent="0.25">
      <c r="A1805" s="2" t="str">
        <f>"PINR-1500WW"</f>
        <v>PINR-1500WW</v>
      </c>
      <c r="B1805" s="2" t="str">
        <f>"PINLED Spiegelleuchte, LED 39W, 3000K, Abdeckung rund, Länge 1500 mm"</f>
        <v>PINLED Spiegelleuchte, LED 39W, 3000K, Abdeckung rund, Länge 1500 mm</v>
      </c>
      <c r="C1805" s="16">
        <v>258</v>
      </c>
      <c r="D1805" s="11">
        <v>83</v>
      </c>
      <c r="E1805" s="7">
        <f t="shared" si="86"/>
        <v>1</v>
      </c>
      <c r="F1805" s="22" t="str">
        <f>IF(ISERROR(VLOOKUP($A1805,#REF!,3,0)),"x",VLOOKUP($A1805,#REF!,3,FALSE))</f>
        <v>x</v>
      </c>
      <c r="G1805" s="9">
        <f t="shared" si="87"/>
        <v>1</v>
      </c>
      <c r="H1805" s="13">
        <f t="shared" si="88"/>
        <v>258</v>
      </c>
    </row>
    <row r="1806" spans="1:8" x14ac:dyDescent="0.25">
      <c r="A1806" s="2" t="str">
        <f>"PINR-600NW"</f>
        <v>PINR-600NW</v>
      </c>
      <c r="B1806" s="2" t="str">
        <f>"PINLED Spiegelleuchte, LED 16W, 4000K, Abdeckung rund, Länge 600 mm"</f>
        <v>PINLED Spiegelleuchte, LED 16W, 4000K, Abdeckung rund, Länge 600 mm</v>
      </c>
      <c r="C1806" s="16">
        <v>192.25</v>
      </c>
      <c r="D1806" s="11">
        <v>83</v>
      </c>
      <c r="E1806" s="7">
        <f t="shared" si="86"/>
        <v>1</v>
      </c>
      <c r="F1806" s="22" t="str">
        <f>IF(ISERROR(VLOOKUP($A1806,#REF!,3,0)),"x",VLOOKUP($A1806,#REF!,3,FALSE))</f>
        <v>x</v>
      </c>
      <c r="G1806" s="9">
        <f t="shared" si="87"/>
        <v>1</v>
      </c>
      <c r="H1806" s="13">
        <f t="shared" si="88"/>
        <v>192.25</v>
      </c>
    </row>
    <row r="1807" spans="1:8" x14ac:dyDescent="0.25">
      <c r="A1807" s="2" t="str">
        <f>"PINR-600SW"</f>
        <v>PINR-600SW</v>
      </c>
      <c r="B1807" s="2" t="str">
        <f>"PINLED Spiegelleuchte, LED 16W, 2700K, Abdeckung rund, Länge 600 mm"</f>
        <v>PINLED Spiegelleuchte, LED 16W, 2700K, Abdeckung rund, Länge 600 mm</v>
      </c>
      <c r="C1807" s="16">
        <v>192.25</v>
      </c>
      <c r="D1807" s="11">
        <v>83</v>
      </c>
      <c r="E1807" s="7">
        <f t="shared" si="86"/>
        <v>1</v>
      </c>
      <c r="F1807" s="22" t="str">
        <f>IF(ISERROR(VLOOKUP($A1807,#REF!,3,0)),"x",VLOOKUP($A1807,#REF!,3,FALSE))</f>
        <v>x</v>
      </c>
      <c r="G1807" s="9">
        <f t="shared" si="87"/>
        <v>1</v>
      </c>
      <c r="H1807" s="13">
        <f t="shared" si="88"/>
        <v>192.25</v>
      </c>
    </row>
    <row r="1808" spans="1:8" x14ac:dyDescent="0.25">
      <c r="A1808" s="2" t="str">
        <f>"PINR-600WW"</f>
        <v>PINR-600WW</v>
      </c>
      <c r="B1808" s="2" t="str">
        <f>"PINLED Spiegelleuchte, LED 16W, 3000K, Abdeckung rund, Länge 600 mm"</f>
        <v>PINLED Spiegelleuchte, LED 16W, 3000K, Abdeckung rund, Länge 600 mm</v>
      </c>
      <c r="C1808" s="16">
        <v>192.25</v>
      </c>
      <c r="D1808" s="11">
        <v>83</v>
      </c>
      <c r="E1808" s="7">
        <f t="shared" si="86"/>
        <v>1</v>
      </c>
      <c r="F1808" s="22" t="str">
        <f>IF(ISERROR(VLOOKUP($A1808,#REF!,3,0)),"x",VLOOKUP($A1808,#REF!,3,FALSE))</f>
        <v>x</v>
      </c>
      <c r="G1808" s="9">
        <f t="shared" si="87"/>
        <v>1</v>
      </c>
      <c r="H1808" s="13">
        <f t="shared" si="88"/>
        <v>192.25</v>
      </c>
    </row>
    <row r="1809" spans="1:8" x14ac:dyDescent="0.25">
      <c r="A1809" s="2" t="str">
        <f>"PINR-900NW"</f>
        <v>PINR-900NW</v>
      </c>
      <c r="B1809" s="2" t="str">
        <f>"PINLED Spiegelleuchte, LED 25W, 4000K, Abdeckung rund, Länge 900 mm"</f>
        <v>PINLED Spiegelleuchte, LED 25W, 4000K, Abdeckung rund, Länge 900 mm</v>
      </c>
      <c r="C1809" s="16">
        <v>213.75</v>
      </c>
      <c r="D1809" s="11">
        <v>83</v>
      </c>
      <c r="E1809" s="7">
        <f t="shared" si="86"/>
        <v>1</v>
      </c>
      <c r="F1809" s="22" t="str">
        <f>IF(ISERROR(VLOOKUP($A1809,#REF!,3,0)),"x",VLOOKUP($A1809,#REF!,3,FALSE))</f>
        <v>x</v>
      </c>
      <c r="G1809" s="9">
        <f t="shared" si="87"/>
        <v>1</v>
      </c>
      <c r="H1809" s="13">
        <f t="shared" si="88"/>
        <v>213.75</v>
      </c>
    </row>
    <row r="1810" spans="1:8" x14ac:dyDescent="0.25">
      <c r="A1810" s="2" t="str">
        <f>"PINR-900SW"</f>
        <v>PINR-900SW</v>
      </c>
      <c r="B1810" s="2" t="str">
        <f>"PINLED Spiegelleuchte, LED 25W, 2700K, Abdeckung rund, Länge 900 mm"</f>
        <v>PINLED Spiegelleuchte, LED 25W, 2700K, Abdeckung rund, Länge 900 mm</v>
      </c>
      <c r="C1810" s="16">
        <v>213.75</v>
      </c>
      <c r="D1810" s="11">
        <v>83</v>
      </c>
      <c r="E1810" s="7">
        <f t="shared" si="86"/>
        <v>1</v>
      </c>
      <c r="F1810" s="22" t="str">
        <f>IF(ISERROR(VLOOKUP($A1810,#REF!,3,0)),"x",VLOOKUP($A1810,#REF!,3,FALSE))</f>
        <v>x</v>
      </c>
      <c r="G1810" s="9">
        <f t="shared" si="87"/>
        <v>1</v>
      </c>
      <c r="H1810" s="13">
        <f t="shared" si="88"/>
        <v>213.75</v>
      </c>
    </row>
    <row r="1811" spans="1:8" x14ac:dyDescent="0.25">
      <c r="A1811" s="2" t="str">
        <f>"PINR-900WW"</f>
        <v>PINR-900WW</v>
      </c>
      <c r="B1811" s="2" t="str">
        <f>"PINLED Spiegelleuchte, LED 25W, 3000K, Abdeckung rund, Länge 900 mm"</f>
        <v>PINLED Spiegelleuchte, LED 25W, 3000K, Abdeckung rund, Länge 900 mm</v>
      </c>
      <c r="C1811" s="16">
        <v>213.75</v>
      </c>
      <c r="D1811" s="11">
        <v>83</v>
      </c>
      <c r="E1811" s="7">
        <f t="shared" si="86"/>
        <v>1</v>
      </c>
      <c r="F1811" s="22" t="str">
        <f>IF(ISERROR(VLOOKUP($A1811,#REF!,3,0)),"x",VLOOKUP($A1811,#REF!,3,FALSE))</f>
        <v>x</v>
      </c>
      <c r="G1811" s="9">
        <f t="shared" si="87"/>
        <v>1</v>
      </c>
      <c r="H1811" s="13">
        <f t="shared" si="88"/>
        <v>213.75</v>
      </c>
    </row>
    <row r="1812" spans="1:8" x14ac:dyDescent="0.25">
      <c r="A1812" s="2" t="str">
        <f>"PLL-55/4P-UVC"</f>
        <v>PLL-55/4P-UVC</v>
      </c>
      <c r="B1812" s="2" t="str">
        <f>"TUV PL-L 55W, 4-Pin (4P) für UVC"</f>
        <v>TUV PL-L 55W, 4-Pin (4P) für UVC</v>
      </c>
      <c r="C1812" s="16">
        <v>108</v>
      </c>
      <c r="D1812" s="11">
        <v>201</v>
      </c>
      <c r="E1812" s="7">
        <f t="shared" si="86"/>
        <v>1</v>
      </c>
      <c r="F1812" s="22" t="str">
        <f>IF(ISERROR(VLOOKUP($A1812,#REF!,3,0)),"x",VLOOKUP($A1812,#REF!,3,FALSE))</f>
        <v>x</v>
      </c>
      <c r="G1812" s="9">
        <f t="shared" si="87"/>
        <v>1</v>
      </c>
      <c r="H1812" s="13">
        <f t="shared" si="88"/>
        <v>108</v>
      </c>
    </row>
    <row r="1813" spans="1:8" x14ac:dyDescent="0.25">
      <c r="A1813" s="2" t="str">
        <f>"PRO-25NW6A"</f>
        <v>PRO-25NW6A</v>
      </c>
      <c r="B1813" s="2" t="str">
        <f>"4937AN4KO3 PROTO STRADA LED assym. 25W, 90°x30°, 4000K, Ø270mm, anthrazit"</f>
        <v>4937AN4KO3 PROTO STRADA LED assym. 25W, 90°x30°, 4000K, Ø270mm, anthrazit</v>
      </c>
      <c r="C1813" s="16">
        <v>645</v>
      </c>
      <c r="D1813" s="11">
        <v>351</v>
      </c>
      <c r="E1813" s="7">
        <f t="shared" si="86"/>
        <v>1</v>
      </c>
      <c r="F1813" s="22" t="str">
        <f>IF(ISERROR(VLOOKUP($A1813,#REF!,3,0)),"x",VLOOKUP($A1813,#REF!,3,FALSE))</f>
        <v>x</v>
      </c>
      <c r="G1813" s="9">
        <f t="shared" si="87"/>
        <v>1</v>
      </c>
      <c r="H1813" s="13">
        <f t="shared" si="88"/>
        <v>645</v>
      </c>
    </row>
    <row r="1814" spans="1:8" x14ac:dyDescent="0.25">
      <c r="A1814" s="2" t="str">
        <f>"PRO-25NW6F"</f>
        <v>PRO-25NW6F</v>
      </c>
      <c r="B1814" s="2" t="str">
        <f>"4937AN4KO2 PROTO STRADA LED assym. 25W, 150°x45°, 4000K, Ø270mm, anthrazit"</f>
        <v>4937AN4KO2 PROTO STRADA LED assym. 25W, 150°x45°, 4000K, Ø270mm, anthrazit</v>
      </c>
      <c r="C1814" s="16">
        <v>645</v>
      </c>
      <c r="D1814" s="11">
        <v>351</v>
      </c>
      <c r="E1814" s="7">
        <f t="shared" si="86"/>
        <v>1</v>
      </c>
      <c r="F1814" s="22" t="str">
        <f>IF(ISERROR(VLOOKUP($A1814,#REF!,3,0)),"x",VLOOKUP($A1814,#REF!,3,FALSE))</f>
        <v>x</v>
      </c>
      <c r="G1814" s="9">
        <f t="shared" si="87"/>
        <v>1</v>
      </c>
      <c r="H1814" s="13">
        <f t="shared" si="88"/>
        <v>645</v>
      </c>
    </row>
    <row r="1815" spans="1:8" x14ac:dyDescent="0.25">
      <c r="A1815" s="2" t="str">
        <f>"PRO-25NW6S"</f>
        <v>PRO-25NW6S</v>
      </c>
      <c r="B1815" s="2" t="str">
        <f>"4937AN4KO1 PROTO STRADA Außenscheinwerfer LED 25W, 17°, 4000K, Ø270mm, anthrazit"</f>
        <v>4937AN4KO1 PROTO STRADA Außenscheinwerfer LED 25W, 17°, 4000K, Ø270mm, anthrazit</v>
      </c>
      <c r="C1815" s="16">
        <v>645</v>
      </c>
      <c r="D1815" s="11">
        <v>351</v>
      </c>
      <c r="E1815" s="7">
        <f t="shared" si="86"/>
        <v>1</v>
      </c>
      <c r="F1815" s="22" t="str">
        <f>IF(ISERROR(VLOOKUP($A1815,#REF!,3,0)),"x",VLOOKUP($A1815,#REF!,3,FALSE))</f>
        <v>x</v>
      </c>
      <c r="G1815" s="9">
        <f t="shared" si="87"/>
        <v>1</v>
      </c>
      <c r="H1815" s="13">
        <f t="shared" si="88"/>
        <v>645</v>
      </c>
    </row>
    <row r="1816" spans="1:8" x14ac:dyDescent="0.25">
      <c r="A1816" s="2" t="str">
        <f>"PRO-35NW6A"</f>
        <v>PRO-35NW6A</v>
      </c>
      <c r="B1816" s="2" t="str">
        <f>"4938AN4KO3 PROTO STRADA LED assym. 35W, 90°x30°, 4000K, Ø270mm, anthrazit"</f>
        <v>4938AN4KO3 PROTO STRADA LED assym. 35W, 90°x30°, 4000K, Ø270mm, anthrazit</v>
      </c>
      <c r="C1816" s="16">
        <v>682.5</v>
      </c>
      <c r="D1816" s="11">
        <v>351</v>
      </c>
      <c r="E1816" s="7">
        <f t="shared" si="86"/>
        <v>1</v>
      </c>
      <c r="F1816" s="22" t="str">
        <f>IF(ISERROR(VLOOKUP($A1816,#REF!,3,0)),"x",VLOOKUP($A1816,#REF!,3,FALSE))</f>
        <v>x</v>
      </c>
      <c r="G1816" s="9">
        <f t="shared" si="87"/>
        <v>1</v>
      </c>
      <c r="H1816" s="13">
        <f t="shared" si="88"/>
        <v>682.5</v>
      </c>
    </row>
    <row r="1817" spans="1:8" x14ac:dyDescent="0.25">
      <c r="A1817" s="2" t="str">
        <f>"PRO-35NW6F"</f>
        <v>PRO-35NW6F</v>
      </c>
      <c r="B1817" s="2" t="str">
        <f>"4938AN4KO2 PROTO STRADA LED assym. 35W, 150°x45°, 4000K, Ø270mm, anthrazit"</f>
        <v>4938AN4KO2 PROTO STRADA LED assym. 35W, 150°x45°, 4000K, Ø270mm, anthrazit</v>
      </c>
      <c r="C1817" s="16">
        <v>682.5</v>
      </c>
      <c r="D1817" s="11">
        <v>351</v>
      </c>
      <c r="E1817" s="7">
        <f t="shared" si="86"/>
        <v>1</v>
      </c>
      <c r="F1817" s="22" t="str">
        <f>IF(ISERROR(VLOOKUP($A1817,#REF!,3,0)),"x",VLOOKUP($A1817,#REF!,3,FALSE))</f>
        <v>x</v>
      </c>
      <c r="G1817" s="9">
        <f t="shared" si="87"/>
        <v>1</v>
      </c>
      <c r="H1817" s="13">
        <f t="shared" si="88"/>
        <v>682.5</v>
      </c>
    </row>
    <row r="1818" spans="1:8" x14ac:dyDescent="0.25">
      <c r="A1818" s="2" t="str">
        <f>"PRO-35NW6S"</f>
        <v>PRO-35NW6S</v>
      </c>
      <c r="B1818" s="2" t="str">
        <f>"4938AN4KO1 PROTO STRADA Außenscheinwerfer LED 35W, 17°, 4000K, Ø270mm, anthrazit"</f>
        <v>4938AN4KO1 PROTO STRADA Außenscheinwerfer LED 35W, 17°, 4000K, Ø270mm, anthrazit</v>
      </c>
      <c r="C1818" s="16">
        <v>682.5</v>
      </c>
      <c r="D1818" s="11">
        <v>351</v>
      </c>
      <c r="E1818" s="7">
        <f t="shared" si="86"/>
        <v>1</v>
      </c>
      <c r="F1818" s="22" t="str">
        <f>IF(ISERROR(VLOOKUP($A1818,#REF!,3,0)),"x",VLOOKUP($A1818,#REF!,3,FALSE))</f>
        <v>x</v>
      </c>
      <c r="G1818" s="9">
        <f t="shared" si="87"/>
        <v>1</v>
      </c>
      <c r="H1818" s="13">
        <f t="shared" si="88"/>
        <v>682.5</v>
      </c>
    </row>
    <row r="1819" spans="1:8" x14ac:dyDescent="0.25">
      <c r="A1819" s="2" t="str">
        <f>"PRO-A-2K"</f>
        <v>PRO-A-2K</v>
      </c>
      <c r="B1819" s="2" t="str">
        <f>"PROMLED PRO, Abdeckung klar 2020 mm"</f>
        <v>PROMLED PRO, Abdeckung klar 2020 mm</v>
      </c>
      <c r="C1819" s="16">
        <v>16</v>
      </c>
      <c r="D1819" s="11">
        <v>217</v>
      </c>
      <c r="E1819" s="7">
        <f t="shared" si="86"/>
        <v>1</v>
      </c>
      <c r="F1819" s="22" t="str">
        <f>IF(ISERROR(VLOOKUP($A1819,#REF!,3,0)),"x",VLOOKUP($A1819,#REF!,3,FALSE))</f>
        <v>x</v>
      </c>
      <c r="G1819" s="9">
        <f t="shared" si="87"/>
        <v>1</v>
      </c>
      <c r="H1819" s="13">
        <f t="shared" si="88"/>
        <v>16</v>
      </c>
    </row>
    <row r="1820" spans="1:8" x14ac:dyDescent="0.25">
      <c r="A1820" s="2" t="str">
        <f>"PRO-A-2O"</f>
        <v>PRO-A-2O</v>
      </c>
      <c r="B1820" s="2" t="str">
        <f>"PROMLED PRO, Abdeckung opal 2020 mm"</f>
        <v>PROMLED PRO, Abdeckung opal 2020 mm</v>
      </c>
      <c r="C1820" s="16">
        <v>16</v>
      </c>
      <c r="D1820" s="11">
        <v>217</v>
      </c>
      <c r="E1820" s="7">
        <f t="shared" si="86"/>
        <v>1</v>
      </c>
      <c r="F1820" s="22" t="str">
        <f>IF(ISERROR(VLOOKUP($A1820,#REF!,3,0)),"x",VLOOKUP($A1820,#REF!,3,FALSE))</f>
        <v>x</v>
      </c>
      <c r="G1820" s="9">
        <f t="shared" si="87"/>
        <v>1</v>
      </c>
      <c r="H1820" s="13">
        <f t="shared" si="88"/>
        <v>16</v>
      </c>
    </row>
    <row r="1821" spans="1:8" x14ac:dyDescent="0.25">
      <c r="A1821" s="2" t="str">
        <f>"PRO-A-6O"</f>
        <v>PRO-A-6O</v>
      </c>
      <c r="B1821" s="2" t="str">
        <f>"PROMLED PRO, Abdeckung opal 6023mm +/-3mm"</f>
        <v>PROMLED PRO, Abdeckung opal 6023mm +/-3mm</v>
      </c>
      <c r="C1821" s="16">
        <v>47</v>
      </c>
      <c r="D1821" s="11">
        <v>217</v>
      </c>
      <c r="E1821" s="7">
        <f t="shared" si="86"/>
        <v>1</v>
      </c>
      <c r="F1821" s="22" t="str">
        <f>IF(ISERROR(VLOOKUP($A1821,#REF!,3,0)),"x",VLOOKUP($A1821,#REF!,3,FALSE))</f>
        <v>x</v>
      </c>
      <c r="G1821" s="9">
        <f t="shared" si="87"/>
        <v>1</v>
      </c>
      <c r="H1821" s="13">
        <f t="shared" si="88"/>
        <v>47</v>
      </c>
    </row>
    <row r="1822" spans="1:8" x14ac:dyDescent="0.25">
      <c r="A1822" s="2" t="str">
        <f>"PROE-HALT"</f>
        <v>PROE-HALT</v>
      </c>
      <c r="B1822" s="2" t="str">
        <f>"Halterungsset für PROE-Alu-Profil mit 2 Klammern"</f>
        <v>Halterungsset für PROE-Alu-Profil mit 2 Klammern</v>
      </c>
      <c r="C1822" s="16">
        <v>13.5</v>
      </c>
      <c r="D1822" s="11">
        <v>217</v>
      </c>
      <c r="E1822" s="7">
        <f t="shared" si="86"/>
        <v>1</v>
      </c>
      <c r="F1822" s="22" t="str">
        <f>IF(ISERROR(VLOOKUP($A1822,#REF!,3,0)),"x",VLOOKUP($A1822,#REF!,3,FALSE))</f>
        <v>x</v>
      </c>
      <c r="G1822" s="9">
        <f t="shared" si="87"/>
        <v>1</v>
      </c>
      <c r="H1822" s="13">
        <f t="shared" si="88"/>
        <v>13.5</v>
      </c>
    </row>
    <row r="1823" spans="1:8" x14ac:dyDescent="0.25">
      <c r="A1823" s="2" t="str">
        <f>"PROE-P-2N"</f>
        <v>PROE-P-2N</v>
      </c>
      <c r="B1823" s="2" t="str">
        <f>"PROMLED PRO, Einbauprofil Aluminium 2020 mm, eloxiert"</f>
        <v>PROMLED PRO, Einbauprofil Aluminium 2020 mm, eloxiert</v>
      </c>
      <c r="C1823" s="16">
        <v>60</v>
      </c>
      <c r="D1823" s="11">
        <v>217</v>
      </c>
      <c r="E1823" s="7">
        <f t="shared" si="86"/>
        <v>1</v>
      </c>
      <c r="F1823" s="22" t="str">
        <f>IF(ISERROR(VLOOKUP($A1823,#REF!,3,0)),"x",VLOOKUP($A1823,#REF!,3,FALSE))</f>
        <v>x</v>
      </c>
      <c r="G1823" s="9">
        <f t="shared" si="87"/>
        <v>1</v>
      </c>
      <c r="H1823" s="13">
        <f t="shared" si="88"/>
        <v>60</v>
      </c>
    </row>
    <row r="1824" spans="1:8" x14ac:dyDescent="0.25">
      <c r="A1824" s="2" t="str">
        <f>"PROE-P-6N"</f>
        <v>PROE-P-6N</v>
      </c>
      <c r="B1824" s="2" t="str">
        <f>"PROMLED PRO, Einbauprofil Aluminium 6050 mm, eloxiert"</f>
        <v>PROMLED PRO, Einbauprofil Aluminium 6050 mm, eloxiert</v>
      </c>
      <c r="C1824" s="16">
        <v>150</v>
      </c>
      <c r="D1824" s="11">
        <v>217</v>
      </c>
      <c r="E1824" s="7">
        <f t="shared" si="86"/>
        <v>1</v>
      </c>
      <c r="F1824" s="22" t="str">
        <f>IF(ISERROR(VLOOKUP($A1824,#REF!,3,0)),"x",VLOOKUP($A1824,#REF!,3,FALSE))</f>
        <v>x</v>
      </c>
      <c r="G1824" s="9">
        <f t="shared" si="87"/>
        <v>1</v>
      </c>
      <c r="H1824" s="13">
        <f t="shared" si="88"/>
        <v>150</v>
      </c>
    </row>
    <row r="1825" spans="1:8" x14ac:dyDescent="0.25">
      <c r="A1825" s="2" t="str">
        <f>"PROTOF-30006"</f>
        <v>PROTOF-30006</v>
      </c>
      <c r="B1825" s="2" t="str">
        <f>"3505AN PROTO Mast für PROTO-xx, zur Befestigung im Fundament, anthrazit"</f>
        <v>3505AN PROTO Mast für PROTO-xx, zur Befestigung im Fundament, anthrazit</v>
      </c>
      <c r="C1825" s="16">
        <v>837.5</v>
      </c>
      <c r="D1825" s="11">
        <v>351</v>
      </c>
      <c r="E1825" s="7">
        <f t="shared" si="86"/>
        <v>1</v>
      </c>
      <c r="F1825" s="22" t="str">
        <f>IF(ISERROR(VLOOKUP($A1825,#REF!,3,0)),"x",VLOOKUP($A1825,#REF!,3,FALSE))</f>
        <v>x</v>
      </c>
      <c r="G1825" s="9">
        <f t="shared" si="87"/>
        <v>1</v>
      </c>
      <c r="H1825" s="13">
        <f t="shared" si="88"/>
        <v>837.5</v>
      </c>
    </row>
    <row r="1826" spans="1:8" x14ac:dyDescent="0.25">
      <c r="A1826" s="2" t="str">
        <f>"PSL100-1200NW1O"</f>
        <v>PSL100-1200NW1O</v>
      </c>
      <c r="B1826" s="2" t="str">
        <f>"PSL 100 Pendelleuchte, LED 44W, 4000K, direkter/indirekter Lichtaustritt "</f>
        <v xml:space="preserve">PSL 100 Pendelleuchte, LED 44W, 4000K, direkter/indirekter Lichtaustritt </v>
      </c>
      <c r="C1826" s="16">
        <v>463.75</v>
      </c>
      <c r="D1826" s="11">
        <v>79</v>
      </c>
      <c r="E1826" s="7">
        <f t="shared" si="86"/>
        <v>1</v>
      </c>
      <c r="F1826" s="22" t="str">
        <f>IF(ISERROR(VLOOKUP($A1826,#REF!,3,0)),"x",VLOOKUP($A1826,#REF!,3,FALSE))</f>
        <v>x</v>
      </c>
      <c r="G1826" s="9">
        <f t="shared" si="87"/>
        <v>1</v>
      </c>
      <c r="H1826" s="13">
        <f t="shared" si="88"/>
        <v>463.75</v>
      </c>
    </row>
    <row r="1827" spans="1:8" x14ac:dyDescent="0.25">
      <c r="A1827" s="2" t="str">
        <f>"PSL100-1200NW2O"</f>
        <v>PSL100-1200NW2O</v>
      </c>
      <c r="B1827" s="2" t="str">
        <f>"PSL 100 Pendelleuchte, LED 44W, 4000K, direkter/indirekter Lichtaustritt "</f>
        <v xml:space="preserve">PSL 100 Pendelleuchte, LED 44W, 4000K, direkter/indirekter Lichtaustritt </v>
      </c>
      <c r="C1827" s="16">
        <v>463.75</v>
      </c>
      <c r="D1827" s="11">
        <v>79</v>
      </c>
      <c r="E1827" s="7">
        <f t="shared" si="86"/>
        <v>1</v>
      </c>
      <c r="F1827" s="22" t="str">
        <f>IF(ISERROR(VLOOKUP($A1827,#REF!,3,0)),"x",VLOOKUP($A1827,#REF!,3,FALSE))</f>
        <v>x</v>
      </c>
      <c r="G1827" s="9">
        <f t="shared" si="87"/>
        <v>1</v>
      </c>
      <c r="H1827" s="13">
        <f t="shared" si="88"/>
        <v>463.75</v>
      </c>
    </row>
    <row r="1828" spans="1:8" x14ac:dyDescent="0.25">
      <c r="A1828" s="2" t="str">
        <f>"PSL100-1200NW7O"</f>
        <v>PSL100-1200NW7O</v>
      </c>
      <c r="B1828" s="2" t="str">
        <f>"PSL 100 Pendelleuchte, LED 44W, 4000K, direkter/indirekter Lichtaustritt "</f>
        <v xml:space="preserve">PSL 100 Pendelleuchte, LED 44W, 4000K, direkter/indirekter Lichtaustritt </v>
      </c>
      <c r="C1828" s="16">
        <v>463.75</v>
      </c>
      <c r="D1828" s="11">
        <v>79</v>
      </c>
      <c r="E1828" s="7">
        <f t="shared" si="86"/>
        <v>1</v>
      </c>
      <c r="F1828" s="22" t="str">
        <f>IF(ISERROR(VLOOKUP($A1828,#REF!,3,0)),"x",VLOOKUP($A1828,#REF!,3,FALSE))</f>
        <v>x</v>
      </c>
      <c r="G1828" s="9">
        <f t="shared" si="87"/>
        <v>1</v>
      </c>
      <c r="H1828" s="13">
        <f t="shared" si="88"/>
        <v>463.75</v>
      </c>
    </row>
    <row r="1829" spans="1:8" x14ac:dyDescent="0.25">
      <c r="A1829" s="2" t="str">
        <f>"PSL100-1200SW1O"</f>
        <v>PSL100-1200SW1O</v>
      </c>
      <c r="B1829" s="2" t="str">
        <f>"PSL 100 Pendelleuchte, LED 44W, 2700K, direkter/indirekter Lichtaustritt "</f>
        <v xml:space="preserve">PSL 100 Pendelleuchte, LED 44W, 2700K, direkter/indirekter Lichtaustritt </v>
      </c>
      <c r="C1829" s="16">
        <v>463.75</v>
      </c>
      <c r="D1829" s="11">
        <v>79</v>
      </c>
      <c r="E1829" s="7">
        <f t="shared" si="86"/>
        <v>1</v>
      </c>
      <c r="F1829" s="22" t="str">
        <f>IF(ISERROR(VLOOKUP($A1829,#REF!,3,0)),"x",VLOOKUP($A1829,#REF!,3,FALSE))</f>
        <v>x</v>
      </c>
      <c r="G1829" s="9">
        <f t="shared" si="87"/>
        <v>1</v>
      </c>
      <c r="H1829" s="13">
        <f t="shared" si="88"/>
        <v>463.75</v>
      </c>
    </row>
    <row r="1830" spans="1:8" x14ac:dyDescent="0.25">
      <c r="A1830" s="2" t="str">
        <f>"PSL100-1200SW2O"</f>
        <v>PSL100-1200SW2O</v>
      </c>
      <c r="B1830" s="2" t="str">
        <f>"PSL 100 Pendelleuchte, LED 44W, 2700K, direkter/indirekter Lichtaustritt "</f>
        <v xml:space="preserve">PSL 100 Pendelleuchte, LED 44W, 2700K, direkter/indirekter Lichtaustritt </v>
      </c>
      <c r="C1830" s="16">
        <v>463.75</v>
      </c>
      <c r="D1830" s="11">
        <v>79</v>
      </c>
      <c r="E1830" s="7">
        <f t="shared" si="86"/>
        <v>1</v>
      </c>
      <c r="F1830" s="22" t="str">
        <f>IF(ISERROR(VLOOKUP($A1830,#REF!,3,0)),"x",VLOOKUP($A1830,#REF!,3,FALSE))</f>
        <v>x</v>
      </c>
      <c r="G1830" s="9">
        <f t="shared" si="87"/>
        <v>1</v>
      </c>
      <c r="H1830" s="13">
        <f t="shared" si="88"/>
        <v>463.75</v>
      </c>
    </row>
    <row r="1831" spans="1:8" x14ac:dyDescent="0.25">
      <c r="A1831" s="2" t="str">
        <f>"PSL100-1200SW7O"</f>
        <v>PSL100-1200SW7O</v>
      </c>
      <c r="B1831" s="2" t="str">
        <f>"PSL 100 Pendelleuchte, LED 44W, 2700K, direkter/indirekter Lichtaustritt "</f>
        <v xml:space="preserve">PSL 100 Pendelleuchte, LED 44W, 2700K, direkter/indirekter Lichtaustritt </v>
      </c>
      <c r="C1831" s="16">
        <v>463.75</v>
      </c>
      <c r="D1831" s="11">
        <v>79</v>
      </c>
      <c r="E1831" s="7">
        <f t="shared" si="86"/>
        <v>1</v>
      </c>
      <c r="F1831" s="22" t="str">
        <f>IF(ISERROR(VLOOKUP($A1831,#REF!,3,0)),"x",VLOOKUP($A1831,#REF!,3,FALSE))</f>
        <v>x</v>
      </c>
      <c r="G1831" s="9">
        <f t="shared" si="87"/>
        <v>1</v>
      </c>
      <c r="H1831" s="13">
        <f t="shared" si="88"/>
        <v>463.75</v>
      </c>
    </row>
    <row r="1832" spans="1:8" x14ac:dyDescent="0.25">
      <c r="A1832" s="2" t="str">
        <f>"PSL100-1200WW1O"</f>
        <v>PSL100-1200WW1O</v>
      </c>
      <c r="B1832" s="2" t="str">
        <f>"PSL 100 Pendelleuchte, LED 44W, 3000K, direkter/indirekter Lichtaustritt "</f>
        <v xml:space="preserve">PSL 100 Pendelleuchte, LED 44W, 3000K, direkter/indirekter Lichtaustritt </v>
      </c>
      <c r="C1832" s="16">
        <v>463.75</v>
      </c>
      <c r="D1832" s="11">
        <v>79</v>
      </c>
      <c r="E1832" s="7">
        <f t="shared" si="86"/>
        <v>1</v>
      </c>
      <c r="F1832" s="22" t="str">
        <f>IF(ISERROR(VLOOKUP($A1832,#REF!,3,0)),"x",VLOOKUP($A1832,#REF!,3,FALSE))</f>
        <v>x</v>
      </c>
      <c r="G1832" s="9">
        <f t="shared" si="87"/>
        <v>1</v>
      </c>
      <c r="H1832" s="13">
        <f t="shared" si="88"/>
        <v>463.75</v>
      </c>
    </row>
    <row r="1833" spans="1:8" x14ac:dyDescent="0.25">
      <c r="A1833" s="2" t="str">
        <f>"PSL100-1200WW2O"</f>
        <v>PSL100-1200WW2O</v>
      </c>
      <c r="B1833" s="2" t="str">
        <f>"PSL 100 Pendelleuchte, LED 44W, 3000K, direkter/indirekter Lichtaustritt "</f>
        <v xml:space="preserve">PSL 100 Pendelleuchte, LED 44W, 3000K, direkter/indirekter Lichtaustritt </v>
      </c>
      <c r="C1833" s="16">
        <v>463.75</v>
      </c>
      <c r="D1833" s="11">
        <v>79</v>
      </c>
      <c r="E1833" s="7">
        <f t="shared" si="86"/>
        <v>1</v>
      </c>
      <c r="F1833" s="22" t="str">
        <f>IF(ISERROR(VLOOKUP($A1833,#REF!,3,0)),"x",VLOOKUP($A1833,#REF!,3,FALSE))</f>
        <v>x</v>
      </c>
      <c r="G1833" s="9">
        <f t="shared" si="87"/>
        <v>1</v>
      </c>
      <c r="H1833" s="13">
        <f t="shared" si="88"/>
        <v>463.75</v>
      </c>
    </row>
    <row r="1834" spans="1:8" x14ac:dyDescent="0.25">
      <c r="A1834" s="2" t="str">
        <f>"PSL100-1200WW7O"</f>
        <v>PSL100-1200WW7O</v>
      </c>
      <c r="B1834" s="2" t="str">
        <f>"PSL 100 Pendelleuchte, LED 44W, 3000K, direkter/indirekter Lichtaustritt "</f>
        <v xml:space="preserve">PSL 100 Pendelleuchte, LED 44W, 3000K, direkter/indirekter Lichtaustritt </v>
      </c>
      <c r="C1834" s="16">
        <v>463.75</v>
      </c>
      <c r="D1834" s="11">
        <v>79</v>
      </c>
      <c r="E1834" s="7">
        <f t="shared" si="86"/>
        <v>1</v>
      </c>
      <c r="F1834" s="22" t="str">
        <f>IF(ISERROR(VLOOKUP($A1834,#REF!,3,0)),"x",VLOOKUP($A1834,#REF!,3,FALSE))</f>
        <v>x</v>
      </c>
      <c r="G1834" s="9">
        <f t="shared" si="87"/>
        <v>1</v>
      </c>
      <c r="H1834" s="13">
        <f t="shared" si="88"/>
        <v>463.75</v>
      </c>
    </row>
    <row r="1835" spans="1:8" x14ac:dyDescent="0.25">
      <c r="A1835" s="2" t="str">
        <f>"PSL100-1500NW1O"</f>
        <v>PSL100-1500NW1O</v>
      </c>
      <c r="B1835" s="2" t="str">
        <f>"PSL 100 Pendelleuchte, LED 57W, 4000K, direkter/indirekter Lichtaustritt"</f>
        <v>PSL 100 Pendelleuchte, LED 57W, 4000K, direkter/indirekter Lichtaustritt</v>
      </c>
      <c r="C1835" s="16">
        <v>565</v>
      </c>
      <c r="D1835" s="11">
        <v>79</v>
      </c>
      <c r="E1835" s="7">
        <f t="shared" si="86"/>
        <v>1</v>
      </c>
      <c r="F1835" s="22" t="str">
        <f>IF(ISERROR(VLOOKUP($A1835,#REF!,3,0)),"x",VLOOKUP($A1835,#REF!,3,FALSE))</f>
        <v>x</v>
      </c>
      <c r="G1835" s="9">
        <f t="shared" si="87"/>
        <v>1</v>
      </c>
      <c r="H1835" s="13">
        <f t="shared" si="88"/>
        <v>565</v>
      </c>
    </row>
    <row r="1836" spans="1:8" x14ac:dyDescent="0.25">
      <c r="A1836" s="2" t="str">
        <f>"PSL100-1500NW2O"</f>
        <v>PSL100-1500NW2O</v>
      </c>
      <c r="B1836" s="2" t="str">
        <f>"PSL 100 Pendelleuchte, LED 57W, 4000K, direkter/indirekter Lichtaustritt"</f>
        <v>PSL 100 Pendelleuchte, LED 57W, 4000K, direkter/indirekter Lichtaustritt</v>
      </c>
      <c r="C1836" s="16">
        <v>565</v>
      </c>
      <c r="D1836" s="11">
        <v>79</v>
      </c>
      <c r="E1836" s="7">
        <f t="shared" si="86"/>
        <v>1</v>
      </c>
      <c r="F1836" s="22" t="str">
        <f>IF(ISERROR(VLOOKUP($A1836,#REF!,3,0)),"x",VLOOKUP($A1836,#REF!,3,FALSE))</f>
        <v>x</v>
      </c>
      <c r="G1836" s="9">
        <f t="shared" si="87"/>
        <v>1</v>
      </c>
      <c r="H1836" s="13">
        <f t="shared" si="88"/>
        <v>565</v>
      </c>
    </row>
    <row r="1837" spans="1:8" x14ac:dyDescent="0.25">
      <c r="A1837" s="2" t="str">
        <f>"PSL100-1500NW7O"</f>
        <v>PSL100-1500NW7O</v>
      </c>
      <c r="B1837" s="2" t="str">
        <f>"PSL 100 Pendelleuchte, LED 57W, 4000K, direkter/indirekter Lichtaustritt"</f>
        <v>PSL 100 Pendelleuchte, LED 57W, 4000K, direkter/indirekter Lichtaustritt</v>
      </c>
      <c r="C1837" s="16">
        <v>565</v>
      </c>
      <c r="D1837" s="11">
        <v>79</v>
      </c>
      <c r="E1837" s="7">
        <f t="shared" si="86"/>
        <v>1</v>
      </c>
      <c r="F1837" s="22" t="str">
        <f>IF(ISERROR(VLOOKUP($A1837,#REF!,3,0)),"x",VLOOKUP($A1837,#REF!,3,FALSE))</f>
        <v>x</v>
      </c>
      <c r="G1837" s="9">
        <f t="shared" si="87"/>
        <v>1</v>
      </c>
      <c r="H1837" s="13">
        <f t="shared" si="88"/>
        <v>565</v>
      </c>
    </row>
    <row r="1838" spans="1:8" x14ac:dyDescent="0.25">
      <c r="A1838" s="2" t="str">
        <f>"PSL100-1500SW1O"</f>
        <v>PSL100-1500SW1O</v>
      </c>
      <c r="B1838" s="2" t="str">
        <f>"PSL 100 Pendelleuchte, LED 57W, 2700K, direkter/indirekter Lichtaustritt"</f>
        <v>PSL 100 Pendelleuchte, LED 57W, 2700K, direkter/indirekter Lichtaustritt</v>
      </c>
      <c r="C1838" s="16">
        <v>565</v>
      </c>
      <c r="D1838" s="11">
        <v>79</v>
      </c>
      <c r="E1838" s="7">
        <f t="shared" si="86"/>
        <v>1</v>
      </c>
      <c r="F1838" s="22" t="str">
        <f>IF(ISERROR(VLOOKUP($A1838,#REF!,3,0)),"x",VLOOKUP($A1838,#REF!,3,FALSE))</f>
        <v>x</v>
      </c>
      <c r="G1838" s="9">
        <f t="shared" si="87"/>
        <v>1</v>
      </c>
      <c r="H1838" s="13">
        <f t="shared" si="88"/>
        <v>565</v>
      </c>
    </row>
    <row r="1839" spans="1:8" x14ac:dyDescent="0.25">
      <c r="A1839" s="2" t="str">
        <f>"PSL100-1500SW2O"</f>
        <v>PSL100-1500SW2O</v>
      </c>
      <c r="B1839" s="2" t="str">
        <f>"PSL 100 Pendelleuchte, LED 57W, 2700K, direkter/indirekter Lichtaustritt"</f>
        <v>PSL 100 Pendelleuchte, LED 57W, 2700K, direkter/indirekter Lichtaustritt</v>
      </c>
      <c r="C1839" s="16">
        <v>565</v>
      </c>
      <c r="D1839" s="11">
        <v>79</v>
      </c>
      <c r="E1839" s="7">
        <f t="shared" si="86"/>
        <v>1</v>
      </c>
      <c r="F1839" s="22" t="str">
        <f>IF(ISERROR(VLOOKUP($A1839,#REF!,3,0)),"x",VLOOKUP($A1839,#REF!,3,FALSE))</f>
        <v>x</v>
      </c>
      <c r="G1839" s="9">
        <f t="shared" si="87"/>
        <v>1</v>
      </c>
      <c r="H1839" s="13">
        <f t="shared" si="88"/>
        <v>565</v>
      </c>
    </row>
    <row r="1840" spans="1:8" x14ac:dyDescent="0.25">
      <c r="A1840" s="2" t="str">
        <f>"PSL100-1500SW7O"</f>
        <v>PSL100-1500SW7O</v>
      </c>
      <c r="B1840" s="2" t="str">
        <f>"PSL 100 Pendelleuchte, LED 57W, 2700K, direkter/indirekter Lichtaustritt"</f>
        <v>PSL 100 Pendelleuchte, LED 57W, 2700K, direkter/indirekter Lichtaustritt</v>
      </c>
      <c r="C1840" s="16">
        <v>565</v>
      </c>
      <c r="D1840" s="11">
        <v>79</v>
      </c>
      <c r="E1840" s="7">
        <f t="shared" si="86"/>
        <v>1</v>
      </c>
      <c r="F1840" s="22" t="str">
        <f>IF(ISERROR(VLOOKUP($A1840,#REF!,3,0)),"x",VLOOKUP($A1840,#REF!,3,FALSE))</f>
        <v>x</v>
      </c>
      <c r="G1840" s="9">
        <f t="shared" si="87"/>
        <v>1</v>
      </c>
      <c r="H1840" s="13">
        <f t="shared" si="88"/>
        <v>565</v>
      </c>
    </row>
    <row r="1841" spans="1:8" x14ac:dyDescent="0.25">
      <c r="A1841" s="2" t="str">
        <f>"PSL100-1500WW1O"</f>
        <v>PSL100-1500WW1O</v>
      </c>
      <c r="B1841" s="2" t="str">
        <f>"PSL 100 Pendelleuchte, LED 57W, 3000K, direkter/indirekter Lichtaustritt"</f>
        <v>PSL 100 Pendelleuchte, LED 57W, 3000K, direkter/indirekter Lichtaustritt</v>
      </c>
      <c r="C1841" s="16">
        <v>565</v>
      </c>
      <c r="D1841" s="11">
        <v>79</v>
      </c>
      <c r="E1841" s="7">
        <f t="shared" si="86"/>
        <v>1</v>
      </c>
      <c r="F1841" s="22" t="str">
        <f>IF(ISERROR(VLOOKUP($A1841,#REF!,3,0)),"x",VLOOKUP($A1841,#REF!,3,FALSE))</f>
        <v>x</v>
      </c>
      <c r="G1841" s="9">
        <f t="shared" si="87"/>
        <v>1</v>
      </c>
      <c r="H1841" s="13">
        <f t="shared" si="88"/>
        <v>565</v>
      </c>
    </row>
    <row r="1842" spans="1:8" x14ac:dyDescent="0.25">
      <c r="A1842" s="2" t="str">
        <f>"PSL100-1500WW2O"</f>
        <v>PSL100-1500WW2O</v>
      </c>
      <c r="B1842" s="2" t="str">
        <f>"PSL 100 Pendelleuchte, LED 57W, 3000K, direkter/indirekter Lichtaustritt"</f>
        <v>PSL 100 Pendelleuchte, LED 57W, 3000K, direkter/indirekter Lichtaustritt</v>
      </c>
      <c r="C1842" s="16">
        <v>565</v>
      </c>
      <c r="D1842" s="11">
        <v>79</v>
      </c>
      <c r="E1842" s="7">
        <f t="shared" si="86"/>
        <v>1</v>
      </c>
      <c r="F1842" s="22" t="str">
        <f>IF(ISERROR(VLOOKUP($A1842,#REF!,3,0)),"x",VLOOKUP($A1842,#REF!,3,FALSE))</f>
        <v>x</v>
      </c>
      <c r="G1842" s="9">
        <f t="shared" si="87"/>
        <v>1</v>
      </c>
      <c r="H1842" s="13">
        <f t="shared" si="88"/>
        <v>565</v>
      </c>
    </row>
    <row r="1843" spans="1:8" x14ac:dyDescent="0.25">
      <c r="A1843" s="2" t="str">
        <f>"PSL100-1500WW7O"</f>
        <v>PSL100-1500WW7O</v>
      </c>
      <c r="B1843" s="2" t="str">
        <f>"PSL 100 Pendelleuchte, LED 57W, 3000K, direkter/indirekter Lichtaustritt"</f>
        <v>PSL 100 Pendelleuchte, LED 57W, 3000K, direkter/indirekter Lichtaustritt</v>
      </c>
      <c r="C1843" s="16">
        <v>565</v>
      </c>
      <c r="D1843" s="11">
        <v>79</v>
      </c>
      <c r="E1843" s="7">
        <f t="shared" si="86"/>
        <v>1</v>
      </c>
      <c r="F1843" s="22" t="str">
        <f>IF(ISERROR(VLOOKUP($A1843,#REF!,3,0)),"x",VLOOKUP($A1843,#REF!,3,FALSE))</f>
        <v>x</v>
      </c>
      <c r="G1843" s="9">
        <f t="shared" si="87"/>
        <v>1</v>
      </c>
      <c r="H1843" s="13">
        <f t="shared" si="88"/>
        <v>565</v>
      </c>
    </row>
    <row r="1844" spans="1:8" x14ac:dyDescent="0.25">
      <c r="A1844" s="2" t="str">
        <f>"PSL100R-1140NW0-2"</f>
        <v>PSL100R-1140NW0-2</v>
      </c>
      <c r="B1844" s="2" t="str">
        <f>"PSL100 Pendelleuchte, UGR&lt;19, LED direkter/indirekter Lichtaustritt, 4000K"</f>
        <v>PSL100 Pendelleuchte, UGR&lt;19, LED direkter/indirekter Lichtaustritt, 4000K</v>
      </c>
      <c r="C1844" s="16">
        <v>521.25</v>
      </c>
      <c r="D1844" s="11">
        <v>81</v>
      </c>
      <c r="E1844" s="7">
        <f t="shared" si="86"/>
        <v>1</v>
      </c>
      <c r="F1844" s="22" t="str">
        <f>IF(ISERROR(VLOOKUP($A1844,#REF!,3,0)),"x",VLOOKUP($A1844,#REF!,3,FALSE))</f>
        <v>x</v>
      </c>
      <c r="G1844" s="9">
        <f t="shared" si="87"/>
        <v>1</v>
      </c>
      <c r="H1844" s="13">
        <f t="shared" si="88"/>
        <v>521.25</v>
      </c>
    </row>
    <row r="1845" spans="1:8" x14ac:dyDescent="0.25">
      <c r="A1845" s="2" t="str">
        <f>"PSL100R-1140NW1-1"</f>
        <v>PSL100R-1140NW1-1</v>
      </c>
      <c r="B1845" s="2" t="str">
        <f>"PSL100 Pendelleuchte, UGR&lt;19, LED direkter/indirekter Lichtaustritt, 4000K"</f>
        <v>PSL100 Pendelleuchte, UGR&lt;19, LED direkter/indirekter Lichtaustritt, 4000K</v>
      </c>
      <c r="C1845" s="16">
        <v>521.25</v>
      </c>
      <c r="D1845" s="11">
        <v>81</v>
      </c>
      <c r="E1845" s="7">
        <f t="shared" si="86"/>
        <v>1</v>
      </c>
      <c r="F1845" s="22" t="str">
        <f>IF(ISERROR(VLOOKUP($A1845,#REF!,3,0)),"x",VLOOKUP($A1845,#REF!,3,FALSE))</f>
        <v>x</v>
      </c>
      <c r="G1845" s="9">
        <f t="shared" si="87"/>
        <v>1</v>
      </c>
      <c r="H1845" s="13">
        <f t="shared" si="88"/>
        <v>521.25</v>
      </c>
    </row>
    <row r="1846" spans="1:8" x14ac:dyDescent="0.25">
      <c r="A1846" s="2" t="str">
        <f>"PSL100R-1140NW2-2"</f>
        <v>PSL100R-1140NW2-2</v>
      </c>
      <c r="B1846" s="2" t="str">
        <f>"PSL100 Pendelleuchte, UGR&lt;19, LED direkter/indirekter Lichtaustritt, 4000K"</f>
        <v>PSL100 Pendelleuchte, UGR&lt;19, LED direkter/indirekter Lichtaustritt, 4000K</v>
      </c>
      <c r="C1846" s="16">
        <v>521.25</v>
      </c>
      <c r="D1846" s="11">
        <v>81</v>
      </c>
      <c r="E1846" s="7">
        <f t="shared" si="86"/>
        <v>1</v>
      </c>
      <c r="F1846" s="22" t="str">
        <f>IF(ISERROR(VLOOKUP($A1846,#REF!,3,0)),"x",VLOOKUP($A1846,#REF!,3,FALSE))</f>
        <v>x</v>
      </c>
      <c r="G1846" s="9">
        <f t="shared" si="87"/>
        <v>1</v>
      </c>
      <c r="H1846" s="13">
        <f t="shared" si="88"/>
        <v>521.25</v>
      </c>
    </row>
    <row r="1847" spans="1:8" x14ac:dyDescent="0.25">
      <c r="A1847" s="2" t="str">
        <f>"PSL100R-1140WW0-2"</f>
        <v>PSL100R-1140WW0-2</v>
      </c>
      <c r="B1847" s="2" t="str">
        <f>"PSL100 Pendelleuchte, UGR&lt;19, LED direkter/indirekter Lichtaustritt, 3000K"</f>
        <v>PSL100 Pendelleuchte, UGR&lt;19, LED direkter/indirekter Lichtaustritt, 3000K</v>
      </c>
      <c r="C1847" s="16">
        <v>521.25</v>
      </c>
      <c r="D1847" s="11">
        <v>81</v>
      </c>
      <c r="E1847" s="7">
        <f t="shared" si="86"/>
        <v>1</v>
      </c>
      <c r="F1847" s="22" t="str">
        <f>IF(ISERROR(VLOOKUP($A1847,#REF!,3,0)),"x",VLOOKUP($A1847,#REF!,3,FALSE))</f>
        <v>x</v>
      </c>
      <c r="G1847" s="9">
        <f t="shared" si="87"/>
        <v>1</v>
      </c>
      <c r="H1847" s="13">
        <f t="shared" si="88"/>
        <v>521.25</v>
      </c>
    </row>
    <row r="1848" spans="1:8" x14ac:dyDescent="0.25">
      <c r="A1848" s="2" t="str">
        <f>"PSL100R-1140WW1-1"</f>
        <v>PSL100R-1140WW1-1</v>
      </c>
      <c r="B1848" s="2" t="str">
        <f>"PSL100 Pendelleuchte, UGR&lt;19, LED direkter/indirekter Lichtaustritt, 3000K"</f>
        <v>PSL100 Pendelleuchte, UGR&lt;19, LED direkter/indirekter Lichtaustritt, 3000K</v>
      </c>
      <c r="C1848" s="16">
        <v>521.25</v>
      </c>
      <c r="D1848" s="11">
        <v>81</v>
      </c>
      <c r="E1848" s="7">
        <f t="shared" si="86"/>
        <v>1</v>
      </c>
      <c r="F1848" s="22" t="str">
        <f>IF(ISERROR(VLOOKUP($A1848,#REF!,3,0)),"x",VLOOKUP($A1848,#REF!,3,FALSE))</f>
        <v>x</v>
      </c>
      <c r="G1848" s="9">
        <f t="shared" si="87"/>
        <v>1</v>
      </c>
      <c r="H1848" s="13">
        <f t="shared" si="88"/>
        <v>521.25</v>
      </c>
    </row>
    <row r="1849" spans="1:8" x14ac:dyDescent="0.25">
      <c r="A1849" s="2" t="str">
        <f>"PSL100R-1140WW2-2"</f>
        <v>PSL100R-1140WW2-2</v>
      </c>
      <c r="B1849" s="2" t="str">
        <f>"PSL100 Pendelleuchte, UGR&lt;19, LED direkter/indirekter Lichtaustritt, 3000K"</f>
        <v>PSL100 Pendelleuchte, UGR&lt;19, LED direkter/indirekter Lichtaustritt, 3000K</v>
      </c>
      <c r="C1849" s="16">
        <v>521.25</v>
      </c>
      <c r="D1849" s="11">
        <v>81</v>
      </c>
      <c r="E1849" s="7">
        <f t="shared" si="86"/>
        <v>1</v>
      </c>
      <c r="F1849" s="22" t="str">
        <f>IF(ISERROR(VLOOKUP($A1849,#REF!,3,0)),"x",VLOOKUP($A1849,#REF!,3,FALSE))</f>
        <v>x</v>
      </c>
      <c r="G1849" s="9">
        <f t="shared" si="87"/>
        <v>1</v>
      </c>
      <c r="H1849" s="13">
        <f t="shared" si="88"/>
        <v>521.25</v>
      </c>
    </row>
    <row r="1850" spans="1:8" x14ac:dyDescent="0.25">
      <c r="A1850" s="2" t="str">
        <f>"PSLD100-1200NW1O"</f>
        <v>PSLD100-1200NW1O</v>
      </c>
      <c r="B1850" s="2" t="str">
        <f>"PSLD100, Pendelleuchte, LED 33W, 4000K, direkter Lichtaustritt"</f>
        <v>PSLD100, Pendelleuchte, LED 33W, 4000K, direkter Lichtaustritt</v>
      </c>
      <c r="C1850" s="16">
        <v>387.5</v>
      </c>
      <c r="D1850" s="11">
        <v>77</v>
      </c>
      <c r="E1850" s="7">
        <f t="shared" si="86"/>
        <v>1</v>
      </c>
      <c r="F1850" s="22" t="str">
        <f>IF(ISERROR(VLOOKUP($A1850,#REF!,3,0)),"x",VLOOKUP($A1850,#REF!,3,FALSE))</f>
        <v>x</v>
      </c>
      <c r="G1850" s="9">
        <f t="shared" si="87"/>
        <v>1</v>
      </c>
      <c r="H1850" s="13">
        <f t="shared" si="88"/>
        <v>387.5</v>
      </c>
    </row>
    <row r="1851" spans="1:8" x14ac:dyDescent="0.25">
      <c r="A1851" s="2" t="str">
        <f>"PSLD100-1200NW2O"</f>
        <v>PSLD100-1200NW2O</v>
      </c>
      <c r="B1851" s="2" t="str">
        <f>"PSLD100, Pendelleuchte, LED 33W, 4000K, direkter Lichtaustritt"</f>
        <v>PSLD100, Pendelleuchte, LED 33W, 4000K, direkter Lichtaustritt</v>
      </c>
      <c r="C1851" s="16">
        <v>387.5</v>
      </c>
      <c r="D1851" s="11">
        <v>77</v>
      </c>
      <c r="E1851" s="7">
        <f t="shared" si="86"/>
        <v>1</v>
      </c>
      <c r="F1851" s="22" t="str">
        <f>IF(ISERROR(VLOOKUP($A1851,#REF!,3,0)),"x",VLOOKUP($A1851,#REF!,3,FALSE))</f>
        <v>x</v>
      </c>
      <c r="G1851" s="9">
        <f t="shared" si="87"/>
        <v>1</v>
      </c>
      <c r="H1851" s="13">
        <f t="shared" si="88"/>
        <v>387.5</v>
      </c>
    </row>
    <row r="1852" spans="1:8" x14ac:dyDescent="0.25">
      <c r="A1852" s="2" t="str">
        <f>"PSLD100-1200NW7O"</f>
        <v>PSLD100-1200NW7O</v>
      </c>
      <c r="B1852" s="2" t="str">
        <f>"PSLD100, Pendelleuchte, LED 33W, 4000K, direkter Lichtaustritt"</f>
        <v>PSLD100, Pendelleuchte, LED 33W, 4000K, direkter Lichtaustritt</v>
      </c>
      <c r="C1852" s="16">
        <v>387.5</v>
      </c>
      <c r="D1852" s="11">
        <v>77</v>
      </c>
      <c r="E1852" s="7">
        <f t="shared" si="86"/>
        <v>1</v>
      </c>
      <c r="F1852" s="22" t="str">
        <f>IF(ISERROR(VLOOKUP($A1852,#REF!,3,0)),"x",VLOOKUP($A1852,#REF!,3,FALSE))</f>
        <v>x</v>
      </c>
      <c r="G1852" s="9">
        <f t="shared" si="87"/>
        <v>1</v>
      </c>
      <c r="H1852" s="13">
        <f t="shared" si="88"/>
        <v>387.5</v>
      </c>
    </row>
    <row r="1853" spans="1:8" x14ac:dyDescent="0.25">
      <c r="A1853" s="2" t="str">
        <f>"PSLD100-1200SW1O"</f>
        <v>PSLD100-1200SW1O</v>
      </c>
      <c r="B1853" s="2" t="str">
        <f>"PSLD100, Pendelleuchte, LED 33W, 2700K, direkter Lichtaustritt"</f>
        <v>PSLD100, Pendelleuchte, LED 33W, 2700K, direkter Lichtaustritt</v>
      </c>
      <c r="C1853" s="16">
        <v>387.5</v>
      </c>
      <c r="D1853" s="11">
        <v>77</v>
      </c>
      <c r="E1853" s="7">
        <f t="shared" si="86"/>
        <v>1</v>
      </c>
      <c r="F1853" s="22" t="str">
        <f>IF(ISERROR(VLOOKUP($A1853,#REF!,3,0)),"x",VLOOKUP($A1853,#REF!,3,FALSE))</f>
        <v>x</v>
      </c>
      <c r="G1853" s="9">
        <f t="shared" si="87"/>
        <v>1</v>
      </c>
      <c r="H1853" s="13">
        <f t="shared" si="88"/>
        <v>387.5</v>
      </c>
    </row>
    <row r="1854" spans="1:8" x14ac:dyDescent="0.25">
      <c r="A1854" s="2" t="str">
        <f>"PSLD100-1200SW2O"</f>
        <v>PSLD100-1200SW2O</v>
      </c>
      <c r="B1854" s="2" t="str">
        <f>"PSLD100, Pendelleuchte, LED 33W, 2700K, direkter Lichtaustritt"</f>
        <v>PSLD100, Pendelleuchte, LED 33W, 2700K, direkter Lichtaustritt</v>
      </c>
      <c r="C1854" s="16">
        <v>387.5</v>
      </c>
      <c r="D1854" s="11">
        <v>77</v>
      </c>
      <c r="E1854" s="7">
        <f t="shared" si="86"/>
        <v>1</v>
      </c>
      <c r="F1854" s="22" t="str">
        <f>IF(ISERROR(VLOOKUP($A1854,#REF!,3,0)),"x",VLOOKUP($A1854,#REF!,3,FALSE))</f>
        <v>x</v>
      </c>
      <c r="G1854" s="9">
        <f t="shared" si="87"/>
        <v>1</v>
      </c>
      <c r="H1854" s="13">
        <f t="shared" si="88"/>
        <v>387.5</v>
      </c>
    </row>
    <row r="1855" spans="1:8" x14ac:dyDescent="0.25">
      <c r="A1855" s="2" t="str">
        <f>"PSLD100-1200SW7O"</f>
        <v>PSLD100-1200SW7O</v>
      </c>
      <c r="B1855" s="2" t="str">
        <f>"PSLD100, Pendelleuchte, LED 33W, 2700K, direkter Lichtaustritt"</f>
        <v>PSLD100, Pendelleuchte, LED 33W, 2700K, direkter Lichtaustritt</v>
      </c>
      <c r="C1855" s="16">
        <v>387.5</v>
      </c>
      <c r="D1855" s="11">
        <v>77</v>
      </c>
      <c r="E1855" s="7">
        <f t="shared" si="86"/>
        <v>1</v>
      </c>
      <c r="F1855" s="22" t="str">
        <f>IF(ISERROR(VLOOKUP($A1855,#REF!,3,0)),"x",VLOOKUP($A1855,#REF!,3,FALSE))</f>
        <v>x</v>
      </c>
      <c r="G1855" s="9">
        <f t="shared" si="87"/>
        <v>1</v>
      </c>
      <c r="H1855" s="13">
        <f t="shared" si="88"/>
        <v>387.5</v>
      </c>
    </row>
    <row r="1856" spans="1:8" x14ac:dyDescent="0.25">
      <c r="A1856" s="2" t="str">
        <f>"PSLD100-1200WW1O"</f>
        <v>PSLD100-1200WW1O</v>
      </c>
      <c r="B1856" s="2" t="str">
        <f>"PSLD100, Pendelleuchte, LED 33W, 3000K, direkter Lichtaustritt"</f>
        <v>PSLD100, Pendelleuchte, LED 33W, 3000K, direkter Lichtaustritt</v>
      </c>
      <c r="C1856" s="16">
        <v>387.5</v>
      </c>
      <c r="D1856" s="11">
        <v>77</v>
      </c>
      <c r="E1856" s="7">
        <f t="shared" si="86"/>
        <v>1</v>
      </c>
      <c r="F1856" s="22" t="str">
        <f>IF(ISERROR(VLOOKUP($A1856,#REF!,3,0)),"x",VLOOKUP($A1856,#REF!,3,FALSE))</f>
        <v>x</v>
      </c>
      <c r="G1856" s="9">
        <f t="shared" si="87"/>
        <v>1</v>
      </c>
      <c r="H1856" s="13">
        <f t="shared" si="88"/>
        <v>387.5</v>
      </c>
    </row>
    <row r="1857" spans="1:8" x14ac:dyDescent="0.25">
      <c r="A1857" s="2" t="str">
        <f>"PSLD100-1200WW2O"</f>
        <v>PSLD100-1200WW2O</v>
      </c>
      <c r="B1857" s="2" t="str">
        <f>"PSLD100, Pendelleuchte, LED 33W, 3000K, direkter Lichtaustritt"</f>
        <v>PSLD100, Pendelleuchte, LED 33W, 3000K, direkter Lichtaustritt</v>
      </c>
      <c r="C1857" s="16">
        <v>387.5</v>
      </c>
      <c r="D1857" s="11">
        <v>77</v>
      </c>
      <c r="E1857" s="7">
        <f t="shared" si="86"/>
        <v>1</v>
      </c>
      <c r="F1857" s="22" t="str">
        <f>IF(ISERROR(VLOOKUP($A1857,#REF!,3,0)),"x",VLOOKUP($A1857,#REF!,3,FALSE))</f>
        <v>x</v>
      </c>
      <c r="G1857" s="9">
        <f t="shared" si="87"/>
        <v>1</v>
      </c>
      <c r="H1857" s="13">
        <f t="shared" si="88"/>
        <v>387.5</v>
      </c>
    </row>
    <row r="1858" spans="1:8" x14ac:dyDescent="0.25">
      <c r="A1858" s="2" t="str">
        <f>"PSLD100-1200WW7O"</f>
        <v>PSLD100-1200WW7O</v>
      </c>
      <c r="B1858" s="2" t="str">
        <f>"PSLD100, Pendelleuchte, LED 33W, 3000K, direkter Lichtaustritt"</f>
        <v>PSLD100, Pendelleuchte, LED 33W, 3000K, direkter Lichtaustritt</v>
      </c>
      <c r="C1858" s="16">
        <v>387.5</v>
      </c>
      <c r="D1858" s="11">
        <v>77</v>
      </c>
      <c r="E1858" s="7">
        <f t="shared" si="86"/>
        <v>1</v>
      </c>
      <c r="F1858" s="22" t="str">
        <f>IF(ISERROR(VLOOKUP($A1858,#REF!,3,0)),"x",VLOOKUP($A1858,#REF!,3,FALSE))</f>
        <v>x</v>
      </c>
      <c r="G1858" s="9">
        <f t="shared" si="87"/>
        <v>1</v>
      </c>
      <c r="H1858" s="13">
        <f t="shared" si="88"/>
        <v>387.5</v>
      </c>
    </row>
    <row r="1859" spans="1:8" x14ac:dyDescent="0.25">
      <c r="A1859" s="2" t="str">
        <f>"PSLD100-1500NW1O"</f>
        <v>PSLD100-1500NW1O</v>
      </c>
      <c r="B1859" s="2" t="str">
        <f>"PSLD100, Pendelleuchte, LED 42W, 4000K,  direkter Lichtaustritt"</f>
        <v>PSLD100, Pendelleuchte, LED 42W, 4000K,  direkter Lichtaustritt</v>
      </c>
      <c r="C1859" s="16">
        <v>407.5</v>
      </c>
      <c r="D1859" s="11">
        <v>77</v>
      </c>
      <c r="E1859" s="7">
        <f t="shared" ref="E1859:E1922" si="89">G1859</f>
        <v>1</v>
      </c>
      <c r="F1859" s="22" t="str">
        <f>IF(ISERROR(VLOOKUP($A1859,#REF!,3,0)),"x",VLOOKUP($A1859,#REF!,3,FALSE))</f>
        <v>x</v>
      </c>
      <c r="G1859" s="9">
        <f t="shared" ref="G1859:G1922" si="90">IF(C1859&lt;F1859,1,IF(C1859&gt;F1859,-1,0))</f>
        <v>1</v>
      </c>
      <c r="H1859" s="13">
        <f t="shared" si="88"/>
        <v>407.5</v>
      </c>
    </row>
    <row r="1860" spans="1:8" x14ac:dyDescent="0.25">
      <c r="A1860" s="2" t="str">
        <f>"PSLD100-1500NW2O"</f>
        <v>PSLD100-1500NW2O</v>
      </c>
      <c r="B1860" s="2" t="str">
        <f>"PSLD100, Pendelleuchte, LED 42W, 4000K,  direkter Lichtaustritt"</f>
        <v>PSLD100, Pendelleuchte, LED 42W, 4000K,  direkter Lichtaustritt</v>
      </c>
      <c r="C1860" s="16">
        <v>407.5</v>
      </c>
      <c r="D1860" s="11">
        <v>77</v>
      </c>
      <c r="E1860" s="7">
        <f t="shared" si="89"/>
        <v>1</v>
      </c>
      <c r="F1860" s="22" t="str">
        <f>IF(ISERROR(VLOOKUP($A1860,#REF!,3,0)),"x",VLOOKUP($A1860,#REF!,3,FALSE))</f>
        <v>x</v>
      </c>
      <c r="G1860" s="9">
        <f t="shared" si="90"/>
        <v>1</v>
      </c>
      <c r="H1860" s="13">
        <f t="shared" si="88"/>
        <v>407.5</v>
      </c>
    </row>
    <row r="1861" spans="1:8" x14ac:dyDescent="0.25">
      <c r="A1861" s="2" t="str">
        <f>"PSLD100-1500NW7O"</f>
        <v>PSLD100-1500NW7O</v>
      </c>
      <c r="B1861" s="2" t="str">
        <f>"PSLD100, Pendelleuchte, LED 42W, 4000K,  direkter Lichtaustritt"</f>
        <v>PSLD100, Pendelleuchte, LED 42W, 4000K,  direkter Lichtaustritt</v>
      </c>
      <c r="C1861" s="16">
        <v>407.5</v>
      </c>
      <c r="D1861" s="11">
        <v>77</v>
      </c>
      <c r="E1861" s="7">
        <f t="shared" si="89"/>
        <v>1</v>
      </c>
      <c r="F1861" s="22" t="str">
        <f>IF(ISERROR(VLOOKUP($A1861,#REF!,3,0)),"x",VLOOKUP($A1861,#REF!,3,FALSE))</f>
        <v>x</v>
      </c>
      <c r="G1861" s="9">
        <f t="shared" si="90"/>
        <v>1</v>
      </c>
      <c r="H1861" s="13">
        <f t="shared" ref="H1861:H1924" si="91">IF(F1861="x",C1861,F1861)</f>
        <v>407.5</v>
      </c>
    </row>
    <row r="1862" spans="1:8" x14ac:dyDescent="0.25">
      <c r="A1862" s="2" t="str">
        <f>"PSLD100-1500SW1O"</f>
        <v>PSLD100-1500SW1O</v>
      </c>
      <c r="B1862" s="2" t="str">
        <f>"PSLD100, Pendelleuchte, LED 42W, 2700K,  direkter Lichtaustritt"</f>
        <v>PSLD100, Pendelleuchte, LED 42W, 2700K,  direkter Lichtaustritt</v>
      </c>
      <c r="C1862" s="16">
        <v>407.5</v>
      </c>
      <c r="D1862" s="11">
        <v>77</v>
      </c>
      <c r="E1862" s="7">
        <f t="shared" si="89"/>
        <v>1</v>
      </c>
      <c r="F1862" s="22" t="str">
        <f>IF(ISERROR(VLOOKUP($A1862,#REF!,3,0)),"x",VLOOKUP($A1862,#REF!,3,FALSE))</f>
        <v>x</v>
      </c>
      <c r="G1862" s="9">
        <f t="shared" si="90"/>
        <v>1</v>
      </c>
      <c r="H1862" s="13">
        <f t="shared" si="91"/>
        <v>407.5</v>
      </c>
    </row>
    <row r="1863" spans="1:8" x14ac:dyDescent="0.25">
      <c r="A1863" s="2" t="str">
        <f>"PSLD100-1500SW2O"</f>
        <v>PSLD100-1500SW2O</v>
      </c>
      <c r="B1863" s="2" t="str">
        <f>"PSLD100, Pendelleuchte, LED 42W, 2700K,  direkter Lichtaustritt"</f>
        <v>PSLD100, Pendelleuchte, LED 42W, 2700K,  direkter Lichtaustritt</v>
      </c>
      <c r="C1863" s="16">
        <v>407.5</v>
      </c>
      <c r="D1863" s="11">
        <v>77</v>
      </c>
      <c r="E1863" s="7">
        <f t="shared" si="89"/>
        <v>1</v>
      </c>
      <c r="F1863" s="22" t="str">
        <f>IF(ISERROR(VLOOKUP($A1863,#REF!,3,0)),"x",VLOOKUP($A1863,#REF!,3,FALSE))</f>
        <v>x</v>
      </c>
      <c r="G1863" s="9">
        <f t="shared" si="90"/>
        <v>1</v>
      </c>
      <c r="H1863" s="13">
        <f t="shared" si="91"/>
        <v>407.5</v>
      </c>
    </row>
    <row r="1864" spans="1:8" x14ac:dyDescent="0.25">
      <c r="A1864" s="2" t="str">
        <f>"PSLD100-1500SW7O"</f>
        <v>PSLD100-1500SW7O</v>
      </c>
      <c r="B1864" s="2" t="str">
        <f>"PSLD100, Pendelleuchte, LED 42W, 2700K,  direkter Lichtaustritt"</f>
        <v>PSLD100, Pendelleuchte, LED 42W, 2700K,  direkter Lichtaustritt</v>
      </c>
      <c r="C1864" s="16">
        <v>407.5</v>
      </c>
      <c r="D1864" s="11">
        <v>77</v>
      </c>
      <c r="E1864" s="7">
        <f t="shared" si="89"/>
        <v>1</v>
      </c>
      <c r="F1864" s="22" t="str">
        <f>IF(ISERROR(VLOOKUP($A1864,#REF!,3,0)),"x",VLOOKUP($A1864,#REF!,3,FALSE))</f>
        <v>x</v>
      </c>
      <c r="G1864" s="9">
        <f t="shared" si="90"/>
        <v>1</v>
      </c>
      <c r="H1864" s="13">
        <f t="shared" si="91"/>
        <v>407.5</v>
      </c>
    </row>
    <row r="1865" spans="1:8" x14ac:dyDescent="0.25">
      <c r="A1865" s="2" t="str">
        <f>"PSLD100-1500WW1O"</f>
        <v>PSLD100-1500WW1O</v>
      </c>
      <c r="B1865" s="2" t="str">
        <f>"PSLD100, Pendelleuchte, LED 42W, 3000K,  direkter Lichtaustritt"</f>
        <v>PSLD100, Pendelleuchte, LED 42W, 3000K,  direkter Lichtaustritt</v>
      </c>
      <c r="C1865" s="16">
        <v>407.5</v>
      </c>
      <c r="D1865" s="11">
        <v>77</v>
      </c>
      <c r="E1865" s="7">
        <f t="shared" si="89"/>
        <v>1</v>
      </c>
      <c r="F1865" s="22" t="str">
        <f>IF(ISERROR(VLOOKUP($A1865,#REF!,3,0)),"x",VLOOKUP($A1865,#REF!,3,FALSE))</f>
        <v>x</v>
      </c>
      <c r="G1865" s="9">
        <f t="shared" si="90"/>
        <v>1</v>
      </c>
      <c r="H1865" s="13">
        <f t="shared" si="91"/>
        <v>407.5</v>
      </c>
    </row>
    <row r="1866" spans="1:8" x14ac:dyDescent="0.25">
      <c r="A1866" s="2" t="str">
        <f>"PSLD100-1500WW2O"</f>
        <v>PSLD100-1500WW2O</v>
      </c>
      <c r="B1866" s="2" t="str">
        <f>"PSLD100, Pendelleuchte, LED 42W, 3000K,  direkter Lichtaustritt"</f>
        <v>PSLD100, Pendelleuchte, LED 42W, 3000K,  direkter Lichtaustritt</v>
      </c>
      <c r="C1866" s="16">
        <v>407.5</v>
      </c>
      <c r="D1866" s="11">
        <v>77</v>
      </c>
      <c r="E1866" s="7">
        <f t="shared" si="89"/>
        <v>1</v>
      </c>
      <c r="F1866" s="22" t="str">
        <f>IF(ISERROR(VLOOKUP($A1866,#REF!,3,0)),"x",VLOOKUP($A1866,#REF!,3,FALSE))</f>
        <v>x</v>
      </c>
      <c r="G1866" s="9">
        <f t="shared" si="90"/>
        <v>1</v>
      </c>
      <c r="H1866" s="13">
        <f t="shared" si="91"/>
        <v>407.5</v>
      </c>
    </row>
    <row r="1867" spans="1:8" x14ac:dyDescent="0.25">
      <c r="A1867" s="2" t="str">
        <f>"PSLD100-1500WW7O"</f>
        <v>PSLD100-1500WW7O</v>
      </c>
      <c r="B1867" s="2" t="str">
        <f>"PSLD100, Pendelleuchte, LED 42W, 3000K,  direkter Lichtaustritt"</f>
        <v>PSLD100, Pendelleuchte, LED 42W, 3000K,  direkter Lichtaustritt</v>
      </c>
      <c r="C1867" s="16">
        <v>407.5</v>
      </c>
      <c r="D1867" s="11">
        <v>77</v>
      </c>
      <c r="E1867" s="7">
        <f t="shared" si="89"/>
        <v>1</v>
      </c>
      <c r="F1867" s="22" t="str">
        <f>IF(ISERROR(VLOOKUP($A1867,#REF!,3,0)),"x",VLOOKUP($A1867,#REF!,3,FALSE))</f>
        <v>x</v>
      </c>
      <c r="G1867" s="9">
        <f t="shared" si="90"/>
        <v>1</v>
      </c>
      <c r="H1867" s="13">
        <f t="shared" si="91"/>
        <v>407.5</v>
      </c>
    </row>
    <row r="1868" spans="1:8" x14ac:dyDescent="0.25">
      <c r="A1868" s="2" t="str">
        <f>"PSLE-1200NW7O"</f>
        <v>PSLE-1200NW7O</v>
      </c>
      <c r="B1868" s="2" t="str">
        <f>"PSL Einbauleuchte, 32W, 4000K, opale Abdeckung, "</f>
        <v xml:space="preserve">PSL Einbauleuchte, 32W, 4000K, opale Abdeckung, </v>
      </c>
      <c r="C1868" s="16">
        <v>387.5</v>
      </c>
      <c r="D1868" s="11">
        <v>77</v>
      </c>
      <c r="E1868" s="7">
        <f t="shared" si="89"/>
        <v>1</v>
      </c>
      <c r="F1868" s="22" t="str">
        <f>IF(ISERROR(VLOOKUP($A1868,#REF!,3,0)),"x",VLOOKUP($A1868,#REF!,3,FALSE))</f>
        <v>x</v>
      </c>
      <c r="G1868" s="9">
        <f t="shared" si="90"/>
        <v>1</v>
      </c>
      <c r="H1868" s="13">
        <f t="shared" si="91"/>
        <v>387.5</v>
      </c>
    </row>
    <row r="1869" spans="1:8" x14ac:dyDescent="0.25">
      <c r="A1869" s="2" t="str">
        <f>"PSLE-1200SW7O"</f>
        <v>PSLE-1200SW7O</v>
      </c>
      <c r="B1869" s="2" t="str">
        <f>"PSL Einbauleuchte, 32W, 2700K, opale Abdeckung"</f>
        <v>PSL Einbauleuchte, 32W, 2700K, opale Abdeckung</v>
      </c>
      <c r="C1869" s="16">
        <v>387.5</v>
      </c>
      <c r="D1869" s="11">
        <v>77</v>
      </c>
      <c r="E1869" s="7">
        <f t="shared" si="89"/>
        <v>1</v>
      </c>
      <c r="F1869" s="22" t="str">
        <f>IF(ISERROR(VLOOKUP($A1869,#REF!,3,0)),"x",VLOOKUP($A1869,#REF!,3,FALSE))</f>
        <v>x</v>
      </c>
      <c r="G1869" s="9">
        <f t="shared" si="90"/>
        <v>1</v>
      </c>
      <c r="H1869" s="13">
        <f t="shared" si="91"/>
        <v>387.5</v>
      </c>
    </row>
    <row r="1870" spans="1:8" x14ac:dyDescent="0.25">
      <c r="A1870" s="2" t="str">
        <f>"PSLE-1200WW7O"</f>
        <v>PSLE-1200WW7O</v>
      </c>
      <c r="B1870" s="2" t="str">
        <f>"PSL Einbauleuchte, 32W, 3000K, opale Abdeckung"</f>
        <v>PSL Einbauleuchte, 32W, 3000K, opale Abdeckung</v>
      </c>
      <c r="C1870" s="16">
        <v>387.5</v>
      </c>
      <c r="D1870" s="11">
        <v>77</v>
      </c>
      <c r="E1870" s="7">
        <f t="shared" si="89"/>
        <v>1</v>
      </c>
      <c r="F1870" s="22" t="str">
        <f>IF(ISERROR(VLOOKUP($A1870,#REF!,3,0)),"x",VLOOKUP($A1870,#REF!,3,FALSE))</f>
        <v>x</v>
      </c>
      <c r="G1870" s="9">
        <f t="shared" si="90"/>
        <v>1</v>
      </c>
      <c r="H1870" s="13">
        <f t="shared" si="91"/>
        <v>387.5</v>
      </c>
    </row>
    <row r="1871" spans="1:8" x14ac:dyDescent="0.25">
      <c r="A1871" s="2" t="str">
        <f>"PSLE-1500NW7O"</f>
        <v>PSLE-1500NW7O</v>
      </c>
      <c r="B1871" s="2" t="str">
        <f>"PSL Einbauleuchte, 41W, 4000K, opale Abdeckung"</f>
        <v>PSL Einbauleuchte, 41W, 4000K, opale Abdeckung</v>
      </c>
      <c r="C1871" s="16">
        <v>407.5</v>
      </c>
      <c r="D1871" s="11">
        <v>77</v>
      </c>
      <c r="E1871" s="7">
        <f t="shared" si="89"/>
        <v>1</v>
      </c>
      <c r="F1871" s="22" t="str">
        <f>IF(ISERROR(VLOOKUP($A1871,#REF!,3,0)),"x",VLOOKUP($A1871,#REF!,3,FALSE))</f>
        <v>x</v>
      </c>
      <c r="G1871" s="9">
        <f t="shared" si="90"/>
        <v>1</v>
      </c>
      <c r="H1871" s="13">
        <f t="shared" si="91"/>
        <v>407.5</v>
      </c>
    </row>
    <row r="1872" spans="1:8" x14ac:dyDescent="0.25">
      <c r="A1872" s="2" t="str">
        <f>"PSLE-1500SW7O"</f>
        <v>PSLE-1500SW7O</v>
      </c>
      <c r="B1872" s="2" t="str">
        <f>"PSL Einbauleuchte, 41W, 2700K, opale Abdeckung"</f>
        <v>PSL Einbauleuchte, 41W, 2700K, opale Abdeckung</v>
      </c>
      <c r="C1872" s="16">
        <v>407.5</v>
      </c>
      <c r="D1872" s="11">
        <v>77</v>
      </c>
      <c r="E1872" s="7">
        <f t="shared" si="89"/>
        <v>1</v>
      </c>
      <c r="F1872" s="22" t="str">
        <f>IF(ISERROR(VLOOKUP($A1872,#REF!,3,0)),"x",VLOOKUP($A1872,#REF!,3,FALSE))</f>
        <v>x</v>
      </c>
      <c r="G1872" s="9">
        <f t="shared" si="90"/>
        <v>1</v>
      </c>
      <c r="H1872" s="13">
        <f t="shared" si="91"/>
        <v>407.5</v>
      </c>
    </row>
    <row r="1873" spans="1:8" x14ac:dyDescent="0.25">
      <c r="A1873" s="2" t="str">
        <f>"PSLE-1500WW7O"</f>
        <v>PSLE-1500WW7O</v>
      </c>
      <c r="B1873" s="2" t="str">
        <f>"PSL Einbauleuchte, 41W, 3000K, opale Abdeckung"</f>
        <v>PSL Einbauleuchte, 41W, 3000K, opale Abdeckung</v>
      </c>
      <c r="C1873" s="16">
        <v>407.5</v>
      </c>
      <c r="D1873" s="11">
        <v>77</v>
      </c>
      <c r="E1873" s="7">
        <f t="shared" si="89"/>
        <v>1</v>
      </c>
      <c r="F1873" s="22" t="str">
        <f>IF(ISERROR(VLOOKUP($A1873,#REF!,3,0)),"x",VLOOKUP($A1873,#REF!,3,FALSE))</f>
        <v>x</v>
      </c>
      <c r="G1873" s="9">
        <f t="shared" si="90"/>
        <v>1</v>
      </c>
      <c r="H1873" s="13">
        <f t="shared" si="91"/>
        <v>407.5</v>
      </c>
    </row>
    <row r="1874" spans="1:8" x14ac:dyDescent="0.25">
      <c r="A1874" s="2" t="str">
        <f>"PSLG123-1200NW1O"</f>
        <v>PSLG123-1200NW1O</v>
      </c>
      <c r="B1874" s="2" t="str">
        <f>"PSLG 123 Pendelleuchte, LED 44W, direkter/indirekter Lichtaustritt , 4000K, Op"</f>
        <v>PSLG 123 Pendelleuchte, LED 44W, direkter/indirekter Lichtaustritt , 4000K, Op</v>
      </c>
      <c r="C1874" s="16">
        <v>480</v>
      </c>
      <c r="D1874" s="11">
        <v>78</v>
      </c>
      <c r="E1874" s="7">
        <f t="shared" si="89"/>
        <v>1</v>
      </c>
      <c r="F1874" s="22" t="str">
        <f>IF(ISERROR(VLOOKUP($A1874,#REF!,3,0)),"x",VLOOKUP($A1874,#REF!,3,FALSE))</f>
        <v>x</v>
      </c>
      <c r="G1874" s="9">
        <f t="shared" si="90"/>
        <v>1</v>
      </c>
      <c r="H1874" s="13">
        <f t="shared" si="91"/>
        <v>480</v>
      </c>
    </row>
    <row r="1875" spans="1:8" x14ac:dyDescent="0.25">
      <c r="A1875" s="2" t="str">
        <f>"PSLG123-1200NW2O"</f>
        <v>PSLG123-1200NW2O</v>
      </c>
      <c r="B1875" s="2" t="str">
        <f>"PSLG 123 Pendelleuchte, LED 44W, direkter/indirekter Lichtaustritt, 4000K, Op"</f>
        <v>PSLG 123 Pendelleuchte, LED 44W, direkter/indirekter Lichtaustritt, 4000K, Op</v>
      </c>
      <c r="C1875" s="16">
        <v>480</v>
      </c>
      <c r="D1875" s="11">
        <v>78</v>
      </c>
      <c r="E1875" s="7">
        <f t="shared" si="89"/>
        <v>1</v>
      </c>
      <c r="F1875" s="22" t="str">
        <f>IF(ISERROR(VLOOKUP($A1875,#REF!,3,0)),"x",VLOOKUP($A1875,#REF!,3,FALSE))</f>
        <v>x</v>
      </c>
      <c r="G1875" s="9">
        <f t="shared" si="90"/>
        <v>1</v>
      </c>
      <c r="H1875" s="13">
        <f t="shared" si="91"/>
        <v>480</v>
      </c>
    </row>
    <row r="1876" spans="1:8" x14ac:dyDescent="0.25">
      <c r="A1876" s="2" t="str">
        <f>"PSLG123-1200NW7O"</f>
        <v>PSLG123-1200NW7O</v>
      </c>
      <c r="B1876" s="2" t="str">
        <f>"PSLG 123 Pendelleuchte, LED 44W, direkter/indirekter Lichtaustritt , 4000K, Op"</f>
        <v>PSLG 123 Pendelleuchte, LED 44W, direkter/indirekter Lichtaustritt , 4000K, Op</v>
      </c>
      <c r="C1876" s="16">
        <v>480</v>
      </c>
      <c r="D1876" s="11">
        <v>78</v>
      </c>
      <c r="E1876" s="7">
        <f t="shared" si="89"/>
        <v>1</v>
      </c>
      <c r="F1876" s="22" t="str">
        <f>IF(ISERROR(VLOOKUP($A1876,#REF!,3,0)),"x",VLOOKUP($A1876,#REF!,3,FALSE))</f>
        <v>x</v>
      </c>
      <c r="G1876" s="9">
        <f t="shared" si="90"/>
        <v>1</v>
      </c>
      <c r="H1876" s="13">
        <f t="shared" si="91"/>
        <v>480</v>
      </c>
    </row>
    <row r="1877" spans="1:8" x14ac:dyDescent="0.25">
      <c r="A1877" s="2" t="str">
        <f>"PSLG123-1200SW1O"</f>
        <v>PSLG123-1200SW1O</v>
      </c>
      <c r="B1877" s="2" t="str">
        <f>"PSLG 123 Pendelleuchte, LED 44W, direkter/indirekter Lichtaustritt , 2700K, Op"</f>
        <v>PSLG 123 Pendelleuchte, LED 44W, direkter/indirekter Lichtaustritt , 2700K, Op</v>
      </c>
      <c r="C1877" s="16">
        <v>480</v>
      </c>
      <c r="D1877" s="11">
        <v>78</v>
      </c>
      <c r="E1877" s="7">
        <f t="shared" si="89"/>
        <v>1</v>
      </c>
      <c r="F1877" s="22" t="str">
        <f>IF(ISERROR(VLOOKUP($A1877,#REF!,3,0)),"x",VLOOKUP($A1877,#REF!,3,FALSE))</f>
        <v>x</v>
      </c>
      <c r="G1877" s="9">
        <f t="shared" si="90"/>
        <v>1</v>
      </c>
      <c r="H1877" s="13">
        <f t="shared" si="91"/>
        <v>480</v>
      </c>
    </row>
    <row r="1878" spans="1:8" x14ac:dyDescent="0.25">
      <c r="A1878" s="2" t="str">
        <f>"PSLG123-1200SW2O"</f>
        <v>PSLG123-1200SW2O</v>
      </c>
      <c r="B1878" s="2" t="str">
        <f>"PSLG 123 Pendelleuchte, LED 44W, direkter/indirekter Lichtaustritt, 2700K, Op"</f>
        <v>PSLG 123 Pendelleuchte, LED 44W, direkter/indirekter Lichtaustritt, 2700K, Op</v>
      </c>
      <c r="C1878" s="16">
        <v>480</v>
      </c>
      <c r="D1878" s="11">
        <v>78</v>
      </c>
      <c r="E1878" s="7">
        <f t="shared" si="89"/>
        <v>1</v>
      </c>
      <c r="F1878" s="22" t="str">
        <f>IF(ISERROR(VLOOKUP($A1878,#REF!,3,0)),"x",VLOOKUP($A1878,#REF!,3,FALSE))</f>
        <v>x</v>
      </c>
      <c r="G1878" s="9">
        <f t="shared" si="90"/>
        <v>1</v>
      </c>
      <c r="H1878" s="13">
        <f t="shared" si="91"/>
        <v>480</v>
      </c>
    </row>
    <row r="1879" spans="1:8" x14ac:dyDescent="0.25">
      <c r="A1879" s="2" t="str">
        <f>"PSLG123-1200SW7O"</f>
        <v>PSLG123-1200SW7O</v>
      </c>
      <c r="B1879" s="2" t="str">
        <f>"PSLG 123 Pendelleuchte, LED 44W, direkter/indirekter Lichtaustritt , 2700K, Op"</f>
        <v>PSLG 123 Pendelleuchte, LED 44W, direkter/indirekter Lichtaustritt , 2700K, Op</v>
      </c>
      <c r="C1879" s="16">
        <v>480</v>
      </c>
      <c r="D1879" s="11">
        <v>78</v>
      </c>
      <c r="E1879" s="7">
        <f t="shared" si="89"/>
        <v>1</v>
      </c>
      <c r="F1879" s="22" t="str">
        <f>IF(ISERROR(VLOOKUP($A1879,#REF!,3,0)),"x",VLOOKUP($A1879,#REF!,3,FALSE))</f>
        <v>x</v>
      </c>
      <c r="G1879" s="9">
        <f t="shared" si="90"/>
        <v>1</v>
      </c>
      <c r="H1879" s="13">
        <f t="shared" si="91"/>
        <v>480</v>
      </c>
    </row>
    <row r="1880" spans="1:8" x14ac:dyDescent="0.25">
      <c r="A1880" s="2" t="str">
        <f>"PSLG123-1200WW1O"</f>
        <v>PSLG123-1200WW1O</v>
      </c>
      <c r="B1880" s="2" t="str">
        <f>"PSLG 123 Pendelleuchte, LED 44W, direkter/indirekter Lichtaustritt, 3000K, Op"</f>
        <v>PSLG 123 Pendelleuchte, LED 44W, direkter/indirekter Lichtaustritt, 3000K, Op</v>
      </c>
      <c r="C1880" s="16">
        <v>480</v>
      </c>
      <c r="D1880" s="11">
        <v>78</v>
      </c>
      <c r="E1880" s="7">
        <f t="shared" si="89"/>
        <v>1</v>
      </c>
      <c r="F1880" s="22" t="str">
        <f>IF(ISERROR(VLOOKUP($A1880,#REF!,3,0)),"x",VLOOKUP($A1880,#REF!,3,FALSE))</f>
        <v>x</v>
      </c>
      <c r="G1880" s="9">
        <f t="shared" si="90"/>
        <v>1</v>
      </c>
      <c r="H1880" s="13">
        <f t="shared" si="91"/>
        <v>480</v>
      </c>
    </row>
    <row r="1881" spans="1:8" x14ac:dyDescent="0.25">
      <c r="A1881" s="2" t="str">
        <f>"PSLG123-1200WW2O"</f>
        <v>PSLG123-1200WW2O</v>
      </c>
      <c r="B1881" s="2" t="str">
        <f>"PSLG 123, Pendelleuchte, LED 44W, direkter/indirekter Lichtaustritt , 3000K, Op"</f>
        <v>PSLG 123, Pendelleuchte, LED 44W, direkter/indirekter Lichtaustritt , 3000K, Op</v>
      </c>
      <c r="C1881" s="16">
        <v>480</v>
      </c>
      <c r="D1881" s="11">
        <v>78</v>
      </c>
      <c r="E1881" s="7">
        <f t="shared" si="89"/>
        <v>1</v>
      </c>
      <c r="F1881" s="22" t="str">
        <f>IF(ISERROR(VLOOKUP($A1881,#REF!,3,0)),"x",VLOOKUP($A1881,#REF!,3,FALSE))</f>
        <v>x</v>
      </c>
      <c r="G1881" s="9">
        <f t="shared" si="90"/>
        <v>1</v>
      </c>
      <c r="H1881" s="13">
        <f t="shared" si="91"/>
        <v>480</v>
      </c>
    </row>
    <row r="1882" spans="1:8" x14ac:dyDescent="0.25">
      <c r="A1882" s="2" t="str">
        <f>"PSLG123-1200WW7O"</f>
        <v>PSLG123-1200WW7O</v>
      </c>
      <c r="B1882" s="2" t="str">
        <f>"PSLG 123, Pendelleuchte, LED 44W, direkter/indirekter Lichtaustritt , 3000K, Op"</f>
        <v>PSLG 123, Pendelleuchte, LED 44W, direkter/indirekter Lichtaustritt , 3000K, Op</v>
      </c>
      <c r="C1882" s="16">
        <v>480</v>
      </c>
      <c r="D1882" s="11">
        <v>78</v>
      </c>
      <c r="E1882" s="7">
        <f t="shared" si="89"/>
        <v>1</v>
      </c>
      <c r="F1882" s="22" t="str">
        <f>IF(ISERROR(VLOOKUP($A1882,#REF!,3,0)),"x",VLOOKUP($A1882,#REF!,3,FALSE))</f>
        <v>x</v>
      </c>
      <c r="G1882" s="9">
        <f t="shared" si="90"/>
        <v>1</v>
      </c>
      <c r="H1882" s="13">
        <f t="shared" si="91"/>
        <v>480</v>
      </c>
    </row>
    <row r="1883" spans="1:8" x14ac:dyDescent="0.25">
      <c r="A1883" s="2" t="str">
        <f>"PSLG123-1500NW1O"</f>
        <v>PSLG123-1500NW1O</v>
      </c>
      <c r="B1883" s="2" t="str">
        <f>"PSLG 123, Pendelleuchte, LED 57W, direkter/indirekter Lichtaustritt, 4000K, Op"</f>
        <v>PSLG 123, Pendelleuchte, LED 57W, direkter/indirekter Lichtaustritt, 4000K, Op</v>
      </c>
      <c r="C1883" s="16">
        <v>520</v>
      </c>
      <c r="D1883" s="11">
        <v>78</v>
      </c>
      <c r="E1883" s="7">
        <f t="shared" si="89"/>
        <v>1</v>
      </c>
      <c r="F1883" s="22" t="str">
        <f>IF(ISERROR(VLOOKUP($A1883,#REF!,3,0)),"x",VLOOKUP($A1883,#REF!,3,FALSE))</f>
        <v>x</v>
      </c>
      <c r="G1883" s="9">
        <f t="shared" si="90"/>
        <v>1</v>
      </c>
      <c r="H1883" s="13">
        <f t="shared" si="91"/>
        <v>520</v>
      </c>
    </row>
    <row r="1884" spans="1:8" x14ac:dyDescent="0.25">
      <c r="A1884" s="2" t="str">
        <f>"PSLG123-1500NW2O"</f>
        <v>PSLG123-1500NW2O</v>
      </c>
      <c r="B1884" s="2" t="str">
        <f>"PSLG 123, Pendelleuchte, LED 57W, direkter/indirekter Lichtaustritt, 4000K, Op"</f>
        <v>PSLG 123, Pendelleuchte, LED 57W, direkter/indirekter Lichtaustritt, 4000K, Op</v>
      </c>
      <c r="C1884" s="16">
        <v>520</v>
      </c>
      <c r="D1884" s="11">
        <v>78</v>
      </c>
      <c r="E1884" s="7">
        <f t="shared" si="89"/>
        <v>1</v>
      </c>
      <c r="F1884" s="22" t="str">
        <f>IF(ISERROR(VLOOKUP($A1884,#REF!,3,0)),"x",VLOOKUP($A1884,#REF!,3,FALSE))</f>
        <v>x</v>
      </c>
      <c r="G1884" s="9">
        <f t="shared" si="90"/>
        <v>1</v>
      </c>
      <c r="H1884" s="13">
        <f t="shared" si="91"/>
        <v>520</v>
      </c>
    </row>
    <row r="1885" spans="1:8" x14ac:dyDescent="0.25">
      <c r="A1885" s="2" t="str">
        <f>"PSLG123-1500NW7O"</f>
        <v>PSLG123-1500NW7O</v>
      </c>
      <c r="B1885" s="2" t="str">
        <f>"PSLG 123, Pendelleuchte, LED 57W, direkter/indirekter Lichtaustritt, 4000K, Op"</f>
        <v>PSLG 123, Pendelleuchte, LED 57W, direkter/indirekter Lichtaustritt, 4000K, Op</v>
      </c>
      <c r="C1885" s="16">
        <v>520</v>
      </c>
      <c r="D1885" s="11">
        <v>78</v>
      </c>
      <c r="E1885" s="7">
        <f t="shared" si="89"/>
        <v>1</v>
      </c>
      <c r="F1885" s="22" t="str">
        <f>IF(ISERROR(VLOOKUP($A1885,#REF!,3,0)),"x",VLOOKUP($A1885,#REF!,3,FALSE))</f>
        <v>x</v>
      </c>
      <c r="G1885" s="9">
        <f t="shared" si="90"/>
        <v>1</v>
      </c>
      <c r="H1885" s="13">
        <f t="shared" si="91"/>
        <v>520</v>
      </c>
    </row>
    <row r="1886" spans="1:8" x14ac:dyDescent="0.25">
      <c r="A1886" s="2" t="str">
        <f>"PSLG123-1500SW1O"</f>
        <v>PSLG123-1500SW1O</v>
      </c>
      <c r="B1886" s="2" t="str">
        <f>"PSLG 123, Pendelleuchte, LED 57W,  direkter/indirekter Lichtaustritt, 2700K, Op"</f>
        <v>PSLG 123, Pendelleuchte, LED 57W,  direkter/indirekter Lichtaustritt, 2700K, Op</v>
      </c>
      <c r="C1886" s="16">
        <v>520</v>
      </c>
      <c r="D1886" s="11">
        <v>78</v>
      </c>
      <c r="E1886" s="7">
        <f t="shared" si="89"/>
        <v>1</v>
      </c>
      <c r="F1886" s="22" t="str">
        <f>IF(ISERROR(VLOOKUP($A1886,#REF!,3,0)),"x",VLOOKUP($A1886,#REF!,3,FALSE))</f>
        <v>x</v>
      </c>
      <c r="G1886" s="9">
        <f t="shared" si="90"/>
        <v>1</v>
      </c>
      <c r="H1886" s="13">
        <f t="shared" si="91"/>
        <v>520</v>
      </c>
    </row>
    <row r="1887" spans="1:8" x14ac:dyDescent="0.25">
      <c r="A1887" s="2" t="str">
        <f>"PSLG123-1500SW2O"</f>
        <v>PSLG123-1500SW2O</v>
      </c>
      <c r="B1887" s="2" t="str">
        <f>"PSLG 123, Pendelleuchte, LED 57W, direkter/indirekter Lichtaustritt, 2700K, Op"</f>
        <v>PSLG 123, Pendelleuchte, LED 57W, direkter/indirekter Lichtaustritt, 2700K, Op</v>
      </c>
      <c r="C1887" s="16">
        <v>520</v>
      </c>
      <c r="D1887" s="11">
        <v>78</v>
      </c>
      <c r="E1887" s="7">
        <f t="shared" si="89"/>
        <v>1</v>
      </c>
      <c r="F1887" s="22" t="str">
        <f>IF(ISERROR(VLOOKUP($A1887,#REF!,3,0)),"x",VLOOKUP($A1887,#REF!,3,FALSE))</f>
        <v>x</v>
      </c>
      <c r="G1887" s="9">
        <f t="shared" si="90"/>
        <v>1</v>
      </c>
      <c r="H1887" s="13">
        <f t="shared" si="91"/>
        <v>520</v>
      </c>
    </row>
    <row r="1888" spans="1:8" x14ac:dyDescent="0.25">
      <c r="A1888" s="2" t="str">
        <f>"PSLG123-1500SW7O"</f>
        <v>PSLG123-1500SW7O</v>
      </c>
      <c r="B1888" s="2" t="str">
        <f>"PSLG 123, Pendelleuchte, LED 57W, direkter/indirekter Lichtaustritt, 2700K, Op"</f>
        <v>PSLG 123, Pendelleuchte, LED 57W, direkter/indirekter Lichtaustritt, 2700K, Op</v>
      </c>
      <c r="C1888" s="16">
        <v>520</v>
      </c>
      <c r="D1888" s="11">
        <v>78</v>
      </c>
      <c r="E1888" s="7">
        <f t="shared" si="89"/>
        <v>1</v>
      </c>
      <c r="F1888" s="22" t="str">
        <f>IF(ISERROR(VLOOKUP($A1888,#REF!,3,0)),"x",VLOOKUP($A1888,#REF!,3,FALSE))</f>
        <v>x</v>
      </c>
      <c r="G1888" s="9">
        <f t="shared" si="90"/>
        <v>1</v>
      </c>
      <c r="H1888" s="13">
        <f t="shared" si="91"/>
        <v>520</v>
      </c>
    </row>
    <row r="1889" spans="1:8" x14ac:dyDescent="0.25">
      <c r="A1889" s="2" t="str">
        <f>"PSLG123-1500WW1O"</f>
        <v>PSLG123-1500WW1O</v>
      </c>
      <c r="B1889" s="2" t="str">
        <f>"PSLG 123, Pendelleuchte, LED 57W, direkter/indirekter Lichtaustritt, 3000K, Op"</f>
        <v>PSLG 123, Pendelleuchte, LED 57W, direkter/indirekter Lichtaustritt, 3000K, Op</v>
      </c>
      <c r="C1889" s="16">
        <v>520</v>
      </c>
      <c r="D1889" s="11">
        <v>78</v>
      </c>
      <c r="E1889" s="7">
        <f t="shared" si="89"/>
        <v>1</v>
      </c>
      <c r="F1889" s="22" t="str">
        <f>IF(ISERROR(VLOOKUP($A1889,#REF!,3,0)),"x",VLOOKUP($A1889,#REF!,3,FALSE))</f>
        <v>x</v>
      </c>
      <c r="G1889" s="9">
        <f t="shared" si="90"/>
        <v>1</v>
      </c>
      <c r="H1889" s="13">
        <f t="shared" si="91"/>
        <v>520</v>
      </c>
    </row>
    <row r="1890" spans="1:8" x14ac:dyDescent="0.25">
      <c r="A1890" s="2" t="str">
        <f>"PSLG123-1500WW2O"</f>
        <v>PSLG123-1500WW2O</v>
      </c>
      <c r="B1890" s="2" t="str">
        <f>"PSLG 123, Pendelleuchte, LED 57W, direkter/indirekter Lichtaustritt, 3000K, Op"</f>
        <v>PSLG 123, Pendelleuchte, LED 57W, direkter/indirekter Lichtaustritt, 3000K, Op</v>
      </c>
      <c r="C1890" s="16">
        <v>520</v>
      </c>
      <c r="D1890" s="11">
        <v>78</v>
      </c>
      <c r="E1890" s="7">
        <f t="shared" si="89"/>
        <v>1</v>
      </c>
      <c r="F1890" s="22" t="str">
        <f>IF(ISERROR(VLOOKUP($A1890,#REF!,3,0)),"x",VLOOKUP($A1890,#REF!,3,FALSE))</f>
        <v>x</v>
      </c>
      <c r="G1890" s="9">
        <f t="shared" si="90"/>
        <v>1</v>
      </c>
      <c r="H1890" s="13">
        <f t="shared" si="91"/>
        <v>520</v>
      </c>
    </row>
    <row r="1891" spans="1:8" x14ac:dyDescent="0.25">
      <c r="A1891" s="2" t="str">
        <f>"PSLG123-1500WW7O"</f>
        <v>PSLG123-1500WW7O</v>
      </c>
      <c r="B1891" s="2" t="str">
        <f>"PSLG 123, Pendelleuchte, LED 57W, direkter/indirekter Lichtaustritt, 3000K, Op"</f>
        <v>PSLG 123, Pendelleuchte, LED 57W, direkter/indirekter Lichtaustritt, 3000K, Op</v>
      </c>
      <c r="C1891" s="16">
        <v>520</v>
      </c>
      <c r="D1891" s="11">
        <v>78</v>
      </c>
      <c r="E1891" s="7">
        <f t="shared" si="89"/>
        <v>1</v>
      </c>
      <c r="F1891" s="22" t="str">
        <f>IF(ISERROR(VLOOKUP($A1891,#REF!,3,0)),"x",VLOOKUP($A1891,#REF!,3,FALSE))</f>
        <v>x</v>
      </c>
      <c r="G1891" s="9">
        <f t="shared" si="90"/>
        <v>1</v>
      </c>
      <c r="H1891" s="13">
        <f t="shared" si="91"/>
        <v>520</v>
      </c>
    </row>
    <row r="1892" spans="1:8" x14ac:dyDescent="0.25">
      <c r="A1892" s="2" t="str">
        <f>"PSLU100-1200NW1P"</f>
        <v>PSLU100-1200NW1P</v>
      </c>
      <c r="B1892" s="2" t="str">
        <f>"PSLU100 Pendelleuchte, UGR&lt;19, LED 44W, 4000K, Lichtaustritt direkt/indirekt"</f>
        <v>PSLU100 Pendelleuchte, UGR&lt;19, LED 44W, 4000K, Lichtaustritt direkt/indirekt</v>
      </c>
      <c r="C1892" s="16">
        <v>517.5</v>
      </c>
      <c r="D1892" s="11">
        <v>79</v>
      </c>
      <c r="E1892" s="7">
        <f t="shared" si="89"/>
        <v>1</v>
      </c>
      <c r="F1892" s="22" t="str">
        <f>IF(ISERROR(VLOOKUP($A1892,#REF!,3,0)),"x",VLOOKUP($A1892,#REF!,3,FALSE))</f>
        <v>x</v>
      </c>
      <c r="G1892" s="9">
        <f t="shared" si="90"/>
        <v>1</v>
      </c>
      <c r="H1892" s="13">
        <f t="shared" si="91"/>
        <v>517.5</v>
      </c>
    </row>
    <row r="1893" spans="1:8" x14ac:dyDescent="0.25">
      <c r="A1893" s="2" t="str">
        <f>"PSLU100-1200NW2P"</f>
        <v>PSLU100-1200NW2P</v>
      </c>
      <c r="B1893" s="2" t="str">
        <f>"PSLU100 Pendelleuchte, UGR&lt;19, LED 44W, 4000K, Lichtaustritt direkt/indirekt"</f>
        <v>PSLU100 Pendelleuchte, UGR&lt;19, LED 44W, 4000K, Lichtaustritt direkt/indirekt</v>
      </c>
      <c r="C1893" s="16">
        <v>517.5</v>
      </c>
      <c r="D1893" s="11">
        <v>79</v>
      </c>
      <c r="E1893" s="7">
        <f t="shared" si="89"/>
        <v>1</v>
      </c>
      <c r="F1893" s="22" t="str">
        <f>IF(ISERROR(VLOOKUP($A1893,#REF!,3,0)),"x",VLOOKUP($A1893,#REF!,3,FALSE))</f>
        <v>x</v>
      </c>
      <c r="G1893" s="9">
        <f t="shared" si="90"/>
        <v>1</v>
      </c>
      <c r="H1893" s="13">
        <f t="shared" si="91"/>
        <v>517.5</v>
      </c>
    </row>
    <row r="1894" spans="1:8" x14ac:dyDescent="0.25">
      <c r="A1894" s="2" t="str">
        <f>"PSLU100-1200NW7P"</f>
        <v>PSLU100-1200NW7P</v>
      </c>
      <c r="B1894" s="2" t="str">
        <f>"PSLU100 Pendelleuchte, UGR&lt;19, LED 44W, 4000K, Lichtaustritt direkt/indirekt"</f>
        <v>PSLU100 Pendelleuchte, UGR&lt;19, LED 44W, 4000K, Lichtaustritt direkt/indirekt</v>
      </c>
      <c r="C1894" s="16">
        <v>517.5</v>
      </c>
      <c r="D1894" s="11">
        <v>79</v>
      </c>
      <c r="E1894" s="7">
        <f t="shared" si="89"/>
        <v>1</v>
      </c>
      <c r="F1894" s="22" t="str">
        <f>IF(ISERROR(VLOOKUP($A1894,#REF!,3,0)),"x",VLOOKUP($A1894,#REF!,3,FALSE))</f>
        <v>x</v>
      </c>
      <c r="G1894" s="9">
        <f t="shared" si="90"/>
        <v>1</v>
      </c>
      <c r="H1894" s="13">
        <f t="shared" si="91"/>
        <v>517.5</v>
      </c>
    </row>
    <row r="1895" spans="1:8" x14ac:dyDescent="0.25">
      <c r="A1895" s="2" t="str">
        <f>"PSLU100-1200SW1P"</f>
        <v>PSLU100-1200SW1P</v>
      </c>
      <c r="B1895" s="2" t="str">
        <f>"PSLU100 Pendelleuchte, UGR&lt;19, LED 44W, 2700K, Lichtaustritt direkt/indirekt"</f>
        <v>PSLU100 Pendelleuchte, UGR&lt;19, LED 44W, 2700K, Lichtaustritt direkt/indirekt</v>
      </c>
      <c r="C1895" s="16">
        <v>517.5</v>
      </c>
      <c r="D1895" s="11">
        <v>79</v>
      </c>
      <c r="E1895" s="7">
        <f t="shared" si="89"/>
        <v>1</v>
      </c>
      <c r="F1895" s="22" t="str">
        <f>IF(ISERROR(VLOOKUP($A1895,#REF!,3,0)),"x",VLOOKUP($A1895,#REF!,3,FALSE))</f>
        <v>x</v>
      </c>
      <c r="G1895" s="9">
        <f t="shared" si="90"/>
        <v>1</v>
      </c>
      <c r="H1895" s="13">
        <f t="shared" si="91"/>
        <v>517.5</v>
      </c>
    </row>
    <row r="1896" spans="1:8" x14ac:dyDescent="0.25">
      <c r="A1896" s="2" t="str">
        <f>"PSLU100-1200SW2P"</f>
        <v>PSLU100-1200SW2P</v>
      </c>
      <c r="B1896" s="2" t="str">
        <f>"PSLU100 Pendelleuchte, UGR&lt;19, LED 44W, 2700K, Lichtaustritt direkt/indirekt"</f>
        <v>PSLU100 Pendelleuchte, UGR&lt;19, LED 44W, 2700K, Lichtaustritt direkt/indirekt</v>
      </c>
      <c r="C1896" s="16">
        <v>517.5</v>
      </c>
      <c r="D1896" s="11">
        <v>79</v>
      </c>
      <c r="E1896" s="7">
        <f t="shared" si="89"/>
        <v>1</v>
      </c>
      <c r="F1896" s="22" t="str">
        <f>IF(ISERROR(VLOOKUP($A1896,#REF!,3,0)),"x",VLOOKUP($A1896,#REF!,3,FALSE))</f>
        <v>x</v>
      </c>
      <c r="G1896" s="9">
        <f t="shared" si="90"/>
        <v>1</v>
      </c>
      <c r="H1896" s="13">
        <f t="shared" si="91"/>
        <v>517.5</v>
      </c>
    </row>
    <row r="1897" spans="1:8" x14ac:dyDescent="0.25">
      <c r="A1897" s="2" t="str">
        <f>"PSLU100-1200SW7P"</f>
        <v>PSLU100-1200SW7P</v>
      </c>
      <c r="B1897" s="2" t="str">
        <f>"PSLU100 Pendelleuchte, UGR&lt;19, LED 44W, 2700K, Lichtaustritt direkt/indirekt"</f>
        <v>PSLU100 Pendelleuchte, UGR&lt;19, LED 44W, 2700K, Lichtaustritt direkt/indirekt</v>
      </c>
      <c r="C1897" s="16">
        <v>517.5</v>
      </c>
      <c r="D1897" s="11">
        <v>79</v>
      </c>
      <c r="E1897" s="7">
        <f t="shared" si="89"/>
        <v>1</v>
      </c>
      <c r="F1897" s="22" t="str">
        <f>IF(ISERROR(VLOOKUP($A1897,#REF!,3,0)),"x",VLOOKUP($A1897,#REF!,3,FALSE))</f>
        <v>x</v>
      </c>
      <c r="G1897" s="9">
        <f t="shared" si="90"/>
        <v>1</v>
      </c>
      <c r="H1897" s="13">
        <f t="shared" si="91"/>
        <v>517.5</v>
      </c>
    </row>
    <row r="1898" spans="1:8" x14ac:dyDescent="0.25">
      <c r="A1898" s="2" t="str">
        <f>"PSLU100-1200WW1P"</f>
        <v>PSLU100-1200WW1P</v>
      </c>
      <c r="B1898" s="2" t="str">
        <f>"PSLU100 Pendelleuchte, UGR&lt;19, LED 44W, 3000K, Lichtaustritt direkt/indirekt"</f>
        <v>PSLU100 Pendelleuchte, UGR&lt;19, LED 44W, 3000K, Lichtaustritt direkt/indirekt</v>
      </c>
      <c r="C1898" s="16">
        <v>517.5</v>
      </c>
      <c r="D1898" s="11">
        <v>79</v>
      </c>
      <c r="E1898" s="7">
        <f t="shared" si="89"/>
        <v>1</v>
      </c>
      <c r="F1898" s="22" t="str">
        <f>IF(ISERROR(VLOOKUP($A1898,#REF!,3,0)),"x",VLOOKUP($A1898,#REF!,3,FALSE))</f>
        <v>x</v>
      </c>
      <c r="G1898" s="9">
        <f t="shared" si="90"/>
        <v>1</v>
      </c>
      <c r="H1898" s="13">
        <f t="shared" si="91"/>
        <v>517.5</v>
      </c>
    </row>
    <row r="1899" spans="1:8" x14ac:dyDescent="0.25">
      <c r="A1899" s="2" t="str">
        <f>"PSLU100-1200WW2P"</f>
        <v>PSLU100-1200WW2P</v>
      </c>
      <c r="B1899" s="2" t="str">
        <f>"PSLU100 Pendelleuchte, UGR&lt;19, LED 44W, 3000K, Lichtaustritt direkt/indirekt"</f>
        <v>PSLU100 Pendelleuchte, UGR&lt;19, LED 44W, 3000K, Lichtaustritt direkt/indirekt</v>
      </c>
      <c r="C1899" s="16">
        <v>517.5</v>
      </c>
      <c r="D1899" s="11">
        <v>79</v>
      </c>
      <c r="E1899" s="7">
        <f t="shared" si="89"/>
        <v>1</v>
      </c>
      <c r="F1899" s="22" t="str">
        <f>IF(ISERROR(VLOOKUP($A1899,#REF!,3,0)),"x",VLOOKUP($A1899,#REF!,3,FALSE))</f>
        <v>x</v>
      </c>
      <c r="G1899" s="9">
        <f t="shared" si="90"/>
        <v>1</v>
      </c>
      <c r="H1899" s="13">
        <f t="shared" si="91"/>
        <v>517.5</v>
      </c>
    </row>
    <row r="1900" spans="1:8" x14ac:dyDescent="0.25">
      <c r="A1900" s="2" t="str">
        <f>"PSLU100-1200WW7P"</f>
        <v>PSLU100-1200WW7P</v>
      </c>
      <c r="B1900" s="2" t="str">
        <f>"PSLU100 Pendelleuchte, UGR&lt;19, LED 44W, 3000K, Lichtaustritt direkt/indirekt"</f>
        <v>PSLU100 Pendelleuchte, UGR&lt;19, LED 44W, 3000K, Lichtaustritt direkt/indirekt</v>
      </c>
      <c r="C1900" s="16">
        <v>517.5</v>
      </c>
      <c r="D1900" s="11">
        <v>79</v>
      </c>
      <c r="E1900" s="7">
        <f t="shared" si="89"/>
        <v>1</v>
      </c>
      <c r="F1900" s="22" t="str">
        <f>IF(ISERROR(VLOOKUP($A1900,#REF!,3,0)),"x",VLOOKUP($A1900,#REF!,3,FALSE))</f>
        <v>x</v>
      </c>
      <c r="G1900" s="9">
        <f t="shared" si="90"/>
        <v>1</v>
      </c>
      <c r="H1900" s="13">
        <f t="shared" si="91"/>
        <v>517.5</v>
      </c>
    </row>
    <row r="1901" spans="1:8" x14ac:dyDescent="0.25">
      <c r="A1901" s="2" t="str">
        <f>"PSLU100-1500NW1P"</f>
        <v>PSLU100-1500NW1P</v>
      </c>
      <c r="B1901" s="2" t="str">
        <f>"PSLU100 Pendelleuchte, UGR&lt;19, LED 57W, 4000K,  Lichtaustritt direkt/indirekt"</f>
        <v>PSLU100 Pendelleuchte, UGR&lt;19, LED 57W, 4000K,  Lichtaustritt direkt/indirekt</v>
      </c>
      <c r="C1901" s="16">
        <v>592</v>
      </c>
      <c r="D1901" s="11">
        <v>79</v>
      </c>
      <c r="E1901" s="7">
        <f t="shared" si="89"/>
        <v>1</v>
      </c>
      <c r="F1901" s="22" t="str">
        <f>IF(ISERROR(VLOOKUP($A1901,#REF!,3,0)),"x",VLOOKUP($A1901,#REF!,3,FALSE))</f>
        <v>x</v>
      </c>
      <c r="G1901" s="9">
        <f t="shared" si="90"/>
        <v>1</v>
      </c>
      <c r="H1901" s="13">
        <f t="shared" si="91"/>
        <v>592</v>
      </c>
    </row>
    <row r="1902" spans="1:8" x14ac:dyDescent="0.25">
      <c r="A1902" s="2" t="str">
        <f>"PSLU100-1500NW2P"</f>
        <v>PSLU100-1500NW2P</v>
      </c>
      <c r="B1902" s="2" t="str">
        <f>"PSLU100 Pendelleuchte, UGR&lt;19, LED 57W, 4000K,  Lichtaustritt direkt/indirekt"</f>
        <v>PSLU100 Pendelleuchte, UGR&lt;19, LED 57W, 4000K,  Lichtaustritt direkt/indirekt</v>
      </c>
      <c r="C1902" s="16">
        <v>592</v>
      </c>
      <c r="D1902" s="11">
        <v>79</v>
      </c>
      <c r="E1902" s="7">
        <f t="shared" si="89"/>
        <v>1</v>
      </c>
      <c r="F1902" s="22" t="str">
        <f>IF(ISERROR(VLOOKUP($A1902,#REF!,3,0)),"x",VLOOKUP($A1902,#REF!,3,FALSE))</f>
        <v>x</v>
      </c>
      <c r="G1902" s="9">
        <f t="shared" si="90"/>
        <v>1</v>
      </c>
      <c r="H1902" s="13">
        <f t="shared" si="91"/>
        <v>592</v>
      </c>
    </row>
    <row r="1903" spans="1:8" x14ac:dyDescent="0.25">
      <c r="A1903" s="2" t="str">
        <f>"PSLU100-1500NW7P"</f>
        <v>PSLU100-1500NW7P</v>
      </c>
      <c r="B1903" s="2" t="str">
        <f>"PSLU100 Pendelleuchte, UGR&lt;19, LED 57W, 4000K,  Lichtaustritt direkt/indirekt"</f>
        <v>PSLU100 Pendelleuchte, UGR&lt;19, LED 57W, 4000K,  Lichtaustritt direkt/indirekt</v>
      </c>
      <c r="C1903" s="16">
        <v>592</v>
      </c>
      <c r="D1903" s="11">
        <v>79</v>
      </c>
      <c r="E1903" s="7">
        <f t="shared" si="89"/>
        <v>1</v>
      </c>
      <c r="F1903" s="22" t="str">
        <f>IF(ISERROR(VLOOKUP($A1903,#REF!,3,0)),"x",VLOOKUP($A1903,#REF!,3,FALSE))</f>
        <v>x</v>
      </c>
      <c r="G1903" s="9">
        <f t="shared" si="90"/>
        <v>1</v>
      </c>
      <c r="H1903" s="13">
        <f t="shared" si="91"/>
        <v>592</v>
      </c>
    </row>
    <row r="1904" spans="1:8" x14ac:dyDescent="0.25">
      <c r="A1904" s="2" t="str">
        <f>"PSLU100-1500SW1P"</f>
        <v>PSLU100-1500SW1P</v>
      </c>
      <c r="B1904" s="2" t="str">
        <f>"PSLU100 Pendelleuchte, UGR&lt;19, LED 57W, 2700K,  Lichtaustritt direkt/indirekt"</f>
        <v>PSLU100 Pendelleuchte, UGR&lt;19, LED 57W, 2700K,  Lichtaustritt direkt/indirekt</v>
      </c>
      <c r="C1904" s="16">
        <v>592</v>
      </c>
      <c r="D1904" s="11">
        <v>79</v>
      </c>
      <c r="E1904" s="7">
        <f t="shared" si="89"/>
        <v>1</v>
      </c>
      <c r="F1904" s="22" t="str">
        <f>IF(ISERROR(VLOOKUP($A1904,#REF!,3,0)),"x",VLOOKUP($A1904,#REF!,3,FALSE))</f>
        <v>x</v>
      </c>
      <c r="G1904" s="9">
        <f t="shared" si="90"/>
        <v>1</v>
      </c>
      <c r="H1904" s="13">
        <f t="shared" si="91"/>
        <v>592</v>
      </c>
    </row>
    <row r="1905" spans="1:8" x14ac:dyDescent="0.25">
      <c r="A1905" s="2" t="str">
        <f>"PSLU100-1500SW2P"</f>
        <v>PSLU100-1500SW2P</v>
      </c>
      <c r="B1905" s="2" t="str">
        <f>"PSLU100 Pendelleuchte, UGR&lt;19, LED 57W, 2700K,  Lichtaustritt direkt/indirekt"</f>
        <v>PSLU100 Pendelleuchte, UGR&lt;19, LED 57W, 2700K,  Lichtaustritt direkt/indirekt</v>
      </c>
      <c r="C1905" s="16">
        <v>592</v>
      </c>
      <c r="D1905" s="11">
        <v>79</v>
      </c>
      <c r="E1905" s="7">
        <f t="shared" si="89"/>
        <v>1</v>
      </c>
      <c r="F1905" s="22" t="str">
        <f>IF(ISERROR(VLOOKUP($A1905,#REF!,3,0)),"x",VLOOKUP($A1905,#REF!,3,FALSE))</f>
        <v>x</v>
      </c>
      <c r="G1905" s="9">
        <f t="shared" si="90"/>
        <v>1</v>
      </c>
      <c r="H1905" s="13">
        <f t="shared" si="91"/>
        <v>592</v>
      </c>
    </row>
    <row r="1906" spans="1:8" x14ac:dyDescent="0.25">
      <c r="A1906" s="2" t="str">
        <f>"PSLU100-1500SW7P"</f>
        <v>PSLU100-1500SW7P</v>
      </c>
      <c r="B1906" s="2" t="str">
        <f>"PSLU100 Pendelleuchte, UGR&lt;19, LED 57W, 2700K,  Lichtaustritt direkt/indirekt"</f>
        <v>PSLU100 Pendelleuchte, UGR&lt;19, LED 57W, 2700K,  Lichtaustritt direkt/indirekt</v>
      </c>
      <c r="C1906" s="16">
        <v>592</v>
      </c>
      <c r="D1906" s="11">
        <v>79</v>
      </c>
      <c r="E1906" s="7">
        <f t="shared" si="89"/>
        <v>1</v>
      </c>
      <c r="F1906" s="22" t="str">
        <f>IF(ISERROR(VLOOKUP($A1906,#REF!,3,0)),"x",VLOOKUP($A1906,#REF!,3,FALSE))</f>
        <v>x</v>
      </c>
      <c r="G1906" s="9">
        <f t="shared" si="90"/>
        <v>1</v>
      </c>
      <c r="H1906" s="13">
        <f t="shared" si="91"/>
        <v>592</v>
      </c>
    </row>
    <row r="1907" spans="1:8" x14ac:dyDescent="0.25">
      <c r="A1907" s="2" t="str">
        <f>"PSLU100-1500WW1P"</f>
        <v>PSLU100-1500WW1P</v>
      </c>
      <c r="B1907" s="2" t="str">
        <f>"PSLU100 Pendelleuchte, UGR&lt;19, LED 57W, 3000K,  Lichtaustritt direkt/indirekt"</f>
        <v>PSLU100 Pendelleuchte, UGR&lt;19, LED 57W, 3000K,  Lichtaustritt direkt/indirekt</v>
      </c>
      <c r="C1907" s="16">
        <v>592</v>
      </c>
      <c r="D1907" s="11">
        <v>79</v>
      </c>
      <c r="E1907" s="7">
        <f t="shared" si="89"/>
        <v>1</v>
      </c>
      <c r="F1907" s="22" t="str">
        <f>IF(ISERROR(VLOOKUP($A1907,#REF!,3,0)),"x",VLOOKUP($A1907,#REF!,3,FALSE))</f>
        <v>x</v>
      </c>
      <c r="G1907" s="9">
        <f t="shared" si="90"/>
        <v>1</v>
      </c>
      <c r="H1907" s="13">
        <f t="shared" si="91"/>
        <v>592</v>
      </c>
    </row>
    <row r="1908" spans="1:8" x14ac:dyDescent="0.25">
      <c r="A1908" s="2" t="str">
        <f>"PSLU100-1500WW2P"</f>
        <v>PSLU100-1500WW2P</v>
      </c>
      <c r="B1908" s="2" t="str">
        <f>"PSLU100 Pendelleuchte, UGR&lt;19, LED 57W, 3000K,  Lichtaustritt direkt/indirekt"</f>
        <v>PSLU100 Pendelleuchte, UGR&lt;19, LED 57W, 3000K,  Lichtaustritt direkt/indirekt</v>
      </c>
      <c r="C1908" s="16">
        <v>592</v>
      </c>
      <c r="D1908" s="11">
        <v>79</v>
      </c>
      <c r="E1908" s="7">
        <f t="shared" si="89"/>
        <v>1</v>
      </c>
      <c r="F1908" s="22" t="str">
        <f>IF(ISERROR(VLOOKUP($A1908,#REF!,3,0)),"x",VLOOKUP($A1908,#REF!,3,FALSE))</f>
        <v>x</v>
      </c>
      <c r="G1908" s="9">
        <f t="shared" si="90"/>
        <v>1</v>
      </c>
      <c r="H1908" s="13">
        <f t="shared" si="91"/>
        <v>592</v>
      </c>
    </row>
    <row r="1909" spans="1:8" x14ac:dyDescent="0.25">
      <c r="A1909" s="2" t="str">
        <f>"PSLU100-1500WW7P"</f>
        <v>PSLU100-1500WW7P</v>
      </c>
      <c r="B1909" s="2" t="str">
        <f>"PSLU100 Pendelleuchte, UGR&lt;19, LED 57W, 3000K,  Lichtaustritt direkt/indirekt"</f>
        <v>PSLU100 Pendelleuchte, UGR&lt;19, LED 57W, 3000K,  Lichtaustritt direkt/indirekt</v>
      </c>
      <c r="C1909" s="16">
        <v>592</v>
      </c>
      <c r="D1909" s="11">
        <v>79</v>
      </c>
      <c r="E1909" s="7">
        <f t="shared" si="89"/>
        <v>1</v>
      </c>
      <c r="F1909" s="22" t="str">
        <f>IF(ISERROR(VLOOKUP($A1909,#REF!,3,0)),"x",VLOOKUP($A1909,#REF!,3,FALSE))</f>
        <v>x</v>
      </c>
      <c r="G1909" s="9">
        <f t="shared" si="90"/>
        <v>1</v>
      </c>
      <c r="H1909" s="13">
        <f t="shared" si="91"/>
        <v>592</v>
      </c>
    </row>
    <row r="1910" spans="1:8" x14ac:dyDescent="0.25">
      <c r="A1910" s="2" t="str">
        <f>"PUR-EKE7"</f>
        <v>PUR-EKE7</v>
      </c>
      <c r="B1910" s="2" t="str">
        <f>"PURLED Enddeckel, eckig, geschlossen, 1 Stück alugrau"</f>
        <v>PURLED Enddeckel, eckig, geschlossen, 1 Stück alugrau</v>
      </c>
      <c r="C1910" s="16">
        <v>16.25</v>
      </c>
      <c r="D1910" s="11">
        <v>217</v>
      </c>
      <c r="E1910" s="7">
        <f t="shared" si="89"/>
        <v>1</v>
      </c>
      <c r="F1910" s="22" t="str">
        <f>IF(ISERROR(VLOOKUP($A1910,#REF!,3,0)),"x",VLOOKUP($A1910,#REF!,3,FALSE))</f>
        <v>x</v>
      </c>
      <c r="G1910" s="9">
        <f t="shared" si="90"/>
        <v>1</v>
      </c>
      <c r="H1910" s="13">
        <f t="shared" si="91"/>
        <v>16.25</v>
      </c>
    </row>
    <row r="1911" spans="1:8" x14ac:dyDescent="0.25">
      <c r="A1911" s="2" t="str">
        <f>"PUR-EKEO7"</f>
        <v>PUR-EKEO7</v>
      </c>
      <c r="B1911" s="2" t="str">
        <f>"PURLED Enddeckel eckig, mit Kabelöffnung, 1 Stück alu eloxiert"</f>
        <v>PURLED Enddeckel eckig, mit Kabelöffnung, 1 Stück alu eloxiert</v>
      </c>
      <c r="C1911" s="16">
        <v>16.25</v>
      </c>
      <c r="D1911" s="11">
        <v>217</v>
      </c>
      <c r="E1911" s="7">
        <f t="shared" si="89"/>
        <v>1</v>
      </c>
      <c r="F1911" s="22" t="str">
        <f>IF(ISERROR(VLOOKUP($A1911,#REF!,3,0)),"x",VLOOKUP($A1911,#REF!,3,FALSE))</f>
        <v>x</v>
      </c>
      <c r="G1911" s="9">
        <f t="shared" si="90"/>
        <v>1</v>
      </c>
      <c r="H1911" s="13">
        <f t="shared" si="91"/>
        <v>16.25</v>
      </c>
    </row>
    <row r="1912" spans="1:8" x14ac:dyDescent="0.25">
      <c r="A1912" s="2" t="str">
        <f>"PUR-P-2"</f>
        <v>PUR-P-2</v>
      </c>
      <c r="B1912" s="2" t="str">
        <f>"PURLED U-Profil, Aluminium eloxiert 2m"</f>
        <v>PURLED U-Profil, Aluminium eloxiert 2m</v>
      </c>
      <c r="C1912" s="16">
        <v>62.5</v>
      </c>
      <c r="D1912" s="11">
        <v>217</v>
      </c>
      <c r="E1912" s="7">
        <f t="shared" si="89"/>
        <v>1</v>
      </c>
      <c r="F1912" s="22" t="str">
        <f>IF(ISERROR(VLOOKUP($A1912,#REF!,3,0)),"x",VLOOKUP($A1912,#REF!,3,FALSE))</f>
        <v>x</v>
      </c>
      <c r="G1912" s="9">
        <f t="shared" si="90"/>
        <v>1</v>
      </c>
      <c r="H1912" s="13">
        <f t="shared" si="91"/>
        <v>62.5</v>
      </c>
    </row>
    <row r="1913" spans="1:8" x14ac:dyDescent="0.25">
      <c r="A1913" s="2" t="str">
        <f>"PUR-P-6"</f>
        <v>PUR-P-6</v>
      </c>
      <c r="B1913" s="2" t="str">
        <f>"PURLED U-Profil, Aluminium eloxiert 6m"</f>
        <v>PURLED U-Profil, Aluminium eloxiert 6m</v>
      </c>
      <c r="C1913" s="16">
        <v>77.5</v>
      </c>
      <c r="D1913" s="11">
        <v>217</v>
      </c>
      <c r="E1913" s="7">
        <f t="shared" si="89"/>
        <v>1</v>
      </c>
      <c r="F1913" s="22" t="str">
        <f>IF(ISERROR(VLOOKUP($A1913,#REF!,3,0)),"x",VLOOKUP($A1913,#REF!,3,FALSE))</f>
        <v>x</v>
      </c>
      <c r="G1913" s="9">
        <f t="shared" si="90"/>
        <v>1</v>
      </c>
      <c r="H1913" s="13">
        <f t="shared" si="91"/>
        <v>77.5</v>
      </c>
    </row>
    <row r="1914" spans="1:8" x14ac:dyDescent="0.25">
      <c r="A1914" s="2" t="str">
        <f>"PV-27G2"</f>
        <v>PV-27G2</v>
      </c>
      <c r="B1914" s="2" t="str">
        <f>"Vintage Pendel LED E27, matt schwarz"</f>
        <v>Vintage Pendel LED E27, matt schwarz</v>
      </c>
      <c r="C1914" s="16">
        <v>57.75</v>
      </c>
      <c r="D1914" s="11">
        <v>171</v>
      </c>
      <c r="E1914" s="7">
        <f t="shared" si="89"/>
        <v>1</v>
      </c>
      <c r="F1914" s="22" t="str">
        <f>IF(ISERROR(VLOOKUP($A1914,#REF!,3,0)),"x",VLOOKUP($A1914,#REF!,3,FALSE))</f>
        <v>x</v>
      </c>
      <c r="G1914" s="9">
        <f t="shared" si="90"/>
        <v>1</v>
      </c>
      <c r="H1914" s="13">
        <f t="shared" si="91"/>
        <v>57.75</v>
      </c>
    </row>
    <row r="1915" spans="1:8" x14ac:dyDescent="0.25">
      <c r="A1915" s="2" t="str">
        <f>"PV-27G4"</f>
        <v>PV-27G4</v>
      </c>
      <c r="B1915" s="2" t="str">
        <f>"Vintage Pendel LED E27, messing"</f>
        <v>Vintage Pendel LED E27, messing</v>
      </c>
      <c r="C1915" s="16">
        <v>60.25</v>
      </c>
      <c r="D1915" s="11">
        <v>171</v>
      </c>
      <c r="E1915" s="7">
        <f t="shared" si="89"/>
        <v>1</v>
      </c>
      <c r="F1915" s="22" t="str">
        <f>IF(ISERROR(VLOOKUP($A1915,#REF!,3,0)),"x",VLOOKUP($A1915,#REF!,3,FALSE))</f>
        <v>x</v>
      </c>
      <c r="G1915" s="9">
        <f t="shared" si="90"/>
        <v>1</v>
      </c>
      <c r="H1915" s="13">
        <f t="shared" si="91"/>
        <v>60.25</v>
      </c>
    </row>
    <row r="1916" spans="1:8" x14ac:dyDescent="0.25">
      <c r="A1916" s="2" t="str">
        <f>"PVO-27G2"</f>
        <v>PVO-27G2</v>
      </c>
      <c r="B1916" s="2" t="str">
        <f>"Vintage Pendel LED E27, matt schwarz, mit Befestigung für Lampenschirme, ohne Dr"</f>
        <v>Vintage Pendel LED E27, matt schwarz, mit Befestigung für Lampenschirme, ohne Dr</v>
      </c>
      <c r="C1916" s="16">
        <v>56</v>
      </c>
      <c r="D1916" s="11">
        <v>171</v>
      </c>
      <c r="E1916" s="7">
        <f t="shared" si="89"/>
        <v>1</v>
      </c>
      <c r="F1916" s="22" t="str">
        <f>IF(ISERROR(VLOOKUP($A1916,#REF!,3,0)),"x",VLOOKUP($A1916,#REF!,3,FALSE))</f>
        <v>x</v>
      </c>
      <c r="G1916" s="9">
        <f t="shared" si="90"/>
        <v>1</v>
      </c>
      <c r="H1916" s="13">
        <f t="shared" si="91"/>
        <v>56</v>
      </c>
    </row>
    <row r="1917" spans="1:8" x14ac:dyDescent="0.25">
      <c r="A1917" s="2" t="str">
        <f>"PVS-27G2"</f>
        <v>PVS-27G2</v>
      </c>
      <c r="B1917" s="2" t="str">
        <f>"Vintage Pendel LED E27, matt schwarz, mit Befestigung für Lampenschirme, mit Dra"</f>
        <v>Vintage Pendel LED E27, matt schwarz, mit Befestigung für Lampenschirme, mit Dra</v>
      </c>
      <c r="C1917" s="16">
        <v>64</v>
      </c>
      <c r="D1917" s="11">
        <v>171</v>
      </c>
      <c r="E1917" s="7">
        <f t="shared" si="89"/>
        <v>1</v>
      </c>
      <c r="F1917" s="22" t="str">
        <f>IF(ISERROR(VLOOKUP($A1917,#REF!,3,0)),"x",VLOOKUP($A1917,#REF!,3,FALSE))</f>
        <v>x</v>
      </c>
      <c r="G1917" s="9">
        <f t="shared" si="90"/>
        <v>1</v>
      </c>
      <c r="H1917" s="13">
        <f t="shared" si="91"/>
        <v>64</v>
      </c>
    </row>
    <row r="1918" spans="1:8" x14ac:dyDescent="0.25">
      <c r="A1918" s="2" t="str">
        <f>"PVS-27G4"</f>
        <v>PVS-27G4</v>
      </c>
      <c r="B1918" s="2" t="str">
        <f>"Vintage Pendel LED E27, messing, mit Befestigung für Lampenschirme"</f>
        <v>Vintage Pendel LED E27, messing, mit Befestigung für Lampenschirme</v>
      </c>
      <c r="C1918" s="16">
        <v>64</v>
      </c>
      <c r="D1918" s="11">
        <v>171</v>
      </c>
      <c r="E1918" s="7">
        <f t="shared" si="89"/>
        <v>1</v>
      </c>
      <c r="F1918" s="22" t="str">
        <f>IF(ISERROR(VLOOKUP($A1918,#REF!,3,0)),"x",VLOOKUP($A1918,#REF!,3,FALSE))</f>
        <v>x</v>
      </c>
      <c r="G1918" s="9">
        <f t="shared" si="90"/>
        <v>1</v>
      </c>
      <c r="H1918" s="13">
        <f t="shared" si="91"/>
        <v>64</v>
      </c>
    </row>
    <row r="1919" spans="1:8" x14ac:dyDescent="0.25">
      <c r="A1919" s="2" t="str">
        <f>"PZ-2525352"</f>
        <v>PZ-2525352</v>
      </c>
      <c r="B1919" s="2" t="str">
        <f>"Würfel Pendelleuchte aus Metall, 250x250x350 mm, Metall schwarz, E27 Fassung"</f>
        <v>Würfel Pendelleuchte aus Metall, 250x250x350 mm, Metall schwarz, E27 Fassung</v>
      </c>
      <c r="C1919" s="16">
        <v>450</v>
      </c>
      <c r="D1919" s="11">
        <v>171</v>
      </c>
      <c r="E1919" s="7">
        <f t="shared" si="89"/>
        <v>1</v>
      </c>
      <c r="F1919" s="22" t="str">
        <f>IF(ISERROR(VLOOKUP($A1919,#REF!,3,0)),"x",VLOOKUP($A1919,#REF!,3,FALSE))</f>
        <v>x</v>
      </c>
      <c r="G1919" s="9">
        <f t="shared" si="90"/>
        <v>1</v>
      </c>
      <c r="H1919" s="13">
        <f t="shared" si="91"/>
        <v>450</v>
      </c>
    </row>
    <row r="1920" spans="1:8" x14ac:dyDescent="0.25">
      <c r="A1920" s="2" t="str">
        <f>"QUANA1H-2NW1"</f>
        <v>QUANA1H-2NW1</v>
      </c>
      <c r="B1920" s="2" t="str">
        <f>"QUAN Wandaußenleuchte, LED 2W, 4000K, horizontal, weiß"</f>
        <v>QUAN Wandaußenleuchte, LED 2W, 4000K, horizontal, weiß</v>
      </c>
      <c r="C1920" s="16">
        <v>153.75</v>
      </c>
      <c r="D1920" s="11">
        <v>296</v>
      </c>
      <c r="E1920" s="7">
        <f t="shared" si="89"/>
        <v>1</v>
      </c>
      <c r="F1920" s="22" t="str">
        <f>IF(ISERROR(VLOOKUP($A1920,#REF!,3,0)),"x",VLOOKUP($A1920,#REF!,3,FALSE))</f>
        <v>x</v>
      </c>
      <c r="G1920" s="9">
        <f t="shared" si="90"/>
        <v>1</v>
      </c>
      <c r="H1920" s="13">
        <f t="shared" si="91"/>
        <v>153.75</v>
      </c>
    </row>
    <row r="1921" spans="1:8" x14ac:dyDescent="0.25">
      <c r="A1921" s="2" t="str">
        <f>"QUANA1H-2NW6"</f>
        <v>QUANA1H-2NW6</v>
      </c>
      <c r="B1921" s="2" t="str">
        <f>"QUAN Wandaußenleuchte, LED 2W, 4000K, horizontal, graphitgrau"</f>
        <v>QUAN Wandaußenleuchte, LED 2W, 4000K, horizontal, graphitgrau</v>
      </c>
      <c r="C1921" s="16">
        <v>153.75</v>
      </c>
      <c r="D1921" s="11">
        <v>296</v>
      </c>
      <c r="E1921" s="7">
        <f t="shared" si="89"/>
        <v>1</v>
      </c>
      <c r="F1921" s="22" t="str">
        <f>IF(ISERROR(VLOOKUP($A1921,#REF!,3,0)),"x",VLOOKUP($A1921,#REF!,3,FALSE))</f>
        <v>x</v>
      </c>
      <c r="G1921" s="9">
        <f t="shared" si="90"/>
        <v>1</v>
      </c>
      <c r="H1921" s="13">
        <f t="shared" si="91"/>
        <v>153.75</v>
      </c>
    </row>
    <row r="1922" spans="1:8" x14ac:dyDescent="0.25">
      <c r="A1922" s="2" t="str">
        <f>"QUANA1H-2NW7"</f>
        <v>QUANA1H-2NW7</v>
      </c>
      <c r="B1922" s="2" t="str">
        <f>"QUAN Wandaußenleuchte, LED 2W, 4000K, horizontal, metallgrau"</f>
        <v>QUAN Wandaußenleuchte, LED 2W, 4000K, horizontal, metallgrau</v>
      </c>
      <c r="C1922" s="16">
        <v>153.75</v>
      </c>
      <c r="D1922" s="11">
        <v>296</v>
      </c>
      <c r="E1922" s="7">
        <f t="shared" si="89"/>
        <v>1</v>
      </c>
      <c r="F1922" s="22" t="str">
        <f>IF(ISERROR(VLOOKUP($A1922,#REF!,3,0)),"x",VLOOKUP($A1922,#REF!,3,FALSE))</f>
        <v>x</v>
      </c>
      <c r="G1922" s="9">
        <f t="shared" si="90"/>
        <v>1</v>
      </c>
      <c r="H1922" s="13">
        <f t="shared" si="91"/>
        <v>153.75</v>
      </c>
    </row>
    <row r="1923" spans="1:8" x14ac:dyDescent="0.25">
      <c r="A1923" s="2" t="str">
        <f>"QUANA1H-2WW1"</f>
        <v>QUANA1H-2WW1</v>
      </c>
      <c r="B1923" s="2" t="str">
        <f>"QUAN Wandaußenleuchte, LED 2W, 3000K, horizontal, weiß"</f>
        <v>QUAN Wandaußenleuchte, LED 2W, 3000K, horizontal, weiß</v>
      </c>
      <c r="C1923" s="16">
        <v>153.75</v>
      </c>
      <c r="D1923" s="11">
        <v>296</v>
      </c>
      <c r="E1923" s="7">
        <f t="shared" ref="E1923:E2177" si="92">G1923</f>
        <v>1</v>
      </c>
      <c r="F1923" s="22" t="str">
        <f>IF(ISERROR(VLOOKUP($A1923,#REF!,3,0)),"x",VLOOKUP($A1923,#REF!,3,FALSE))</f>
        <v>x</v>
      </c>
      <c r="G1923" s="9">
        <f t="shared" ref="G1923:G1986" si="93">IF(C1923&lt;F1923,1,IF(C1923&gt;F1923,-1,0))</f>
        <v>1</v>
      </c>
      <c r="H1923" s="13">
        <f t="shared" si="91"/>
        <v>153.75</v>
      </c>
    </row>
    <row r="1924" spans="1:8" x14ac:dyDescent="0.25">
      <c r="A1924" s="2" t="str">
        <f>"QUANA1H-2WW6"</f>
        <v>QUANA1H-2WW6</v>
      </c>
      <c r="B1924" s="2" t="str">
        <f>"QUAN Wandaußenleuchte, LED 2W, 3000K, horizontal, graphitgrau"</f>
        <v>QUAN Wandaußenleuchte, LED 2W, 3000K, horizontal, graphitgrau</v>
      </c>
      <c r="C1924" s="16">
        <v>153.75</v>
      </c>
      <c r="D1924" s="11">
        <v>296</v>
      </c>
      <c r="E1924" s="7">
        <f t="shared" si="92"/>
        <v>1</v>
      </c>
      <c r="F1924" s="22" t="str">
        <f>IF(ISERROR(VLOOKUP($A1924,#REF!,3,0)),"x",VLOOKUP($A1924,#REF!,3,FALSE))</f>
        <v>x</v>
      </c>
      <c r="G1924" s="9">
        <f t="shared" si="93"/>
        <v>1</v>
      </c>
      <c r="H1924" s="13">
        <f t="shared" si="91"/>
        <v>153.75</v>
      </c>
    </row>
    <row r="1925" spans="1:8" x14ac:dyDescent="0.25">
      <c r="A1925" s="2" t="str">
        <f>"QUANA1H-2WW7"</f>
        <v>QUANA1H-2WW7</v>
      </c>
      <c r="B1925" s="2" t="str">
        <f>"QUAN Wandaußenleuchte, LED 2W, 3000K, horizontal, metallgrau"</f>
        <v>QUAN Wandaußenleuchte, LED 2W, 3000K, horizontal, metallgrau</v>
      </c>
      <c r="C1925" s="16">
        <v>153.75</v>
      </c>
      <c r="D1925" s="11">
        <v>296</v>
      </c>
      <c r="E1925" s="7">
        <f t="shared" si="92"/>
        <v>1</v>
      </c>
      <c r="F1925" s="22" t="str">
        <f>IF(ISERROR(VLOOKUP($A1925,#REF!,3,0)),"x",VLOOKUP($A1925,#REF!,3,FALSE))</f>
        <v>x</v>
      </c>
      <c r="G1925" s="9">
        <f t="shared" si="93"/>
        <v>1</v>
      </c>
      <c r="H1925" s="13">
        <f t="shared" ref="H1925:H1988" si="94">IF(F1925="x",C1925,F1925)</f>
        <v>153.75</v>
      </c>
    </row>
    <row r="1926" spans="1:8" x14ac:dyDescent="0.25">
      <c r="A1926" s="2" t="str">
        <f>"QUANA2H-3NW1"</f>
        <v>QUANA2H-3NW1</v>
      </c>
      <c r="B1926" s="2" t="str">
        <f>"QUAN Wandaußenleuchte, LED 4,5W, 4000K, horizontal, weiß"</f>
        <v>QUAN Wandaußenleuchte, LED 4,5W, 4000K, horizontal, weiß</v>
      </c>
      <c r="C1926" s="16">
        <v>232</v>
      </c>
      <c r="D1926" s="11">
        <v>296</v>
      </c>
      <c r="E1926" s="7">
        <f t="shared" si="92"/>
        <v>1</v>
      </c>
      <c r="F1926" s="22" t="str">
        <f>IF(ISERROR(VLOOKUP($A1926,#REF!,3,0)),"x",VLOOKUP($A1926,#REF!,3,FALSE))</f>
        <v>x</v>
      </c>
      <c r="G1926" s="9">
        <f t="shared" si="93"/>
        <v>1</v>
      </c>
      <c r="H1926" s="13">
        <f t="shared" si="94"/>
        <v>232</v>
      </c>
    </row>
    <row r="1927" spans="1:8" x14ac:dyDescent="0.25">
      <c r="A1927" s="2" t="str">
        <f>"QUANA2H-3NW6"</f>
        <v>QUANA2H-3NW6</v>
      </c>
      <c r="B1927" s="2" t="str">
        <f>"QUAN Wandaußenleuchte, LED 4,5W, 4000K, horizontal, graphitgrau"</f>
        <v>QUAN Wandaußenleuchte, LED 4,5W, 4000K, horizontal, graphitgrau</v>
      </c>
      <c r="C1927" s="16">
        <v>232</v>
      </c>
      <c r="D1927" s="11">
        <v>296</v>
      </c>
      <c r="E1927" s="7">
        <f t="shared" si="92"/>
        <v>1</v>
      </c>
      <c r="F1927" s="22" t="str">
        <f>IF(ISERROR(VLOOKUP($A1927,#REF!,3,0)),"x",VLOOKUP($A1927,#REF!,3,FALSE))</f>
        <v>x</v>
      </c>
      <c r="G1927" s="9">
        <f t="shared" si="93"/>
        <v>1</v>
      </c>
      <c r="H1927" s="13">
        <f t="shared" si="94"/>
        <v>232</v>
      </c>
    </row>
    <row r="1928" spans="1:8" x14ac:dyDescent="0.25">
      <c r="A1928" s="2" t="str">
        <f>"QUANA2H-3NW7"</f>
        <v>QUANA2H-3NW7</v>
      </c>
      <c r="B1928" s="2" t="str">
        <f>"QUAN Wandaußenleuchte, LED 4,5W, 4000K, horizontal, metallgrau"</f>
        <v>QUAN Wandaußenleuchte, LED 4,5W, 4000K, horizontal, metallgrau</v>
      </c>
      <c r="C1928" s="16">
        <v>232</v>
      </c>
      <c r="D1928" s="11">
        <v>296</v>
      </c>
      <c r="E1928" s="7">
        <f t="shared" si="92"/>
        <v>1</v>
      </c>
      <c r="F1928" s="22" t="str">
        <f>IF(ISERROR(VLOOKUP($A1928,#REF!,3,0)),"x",VLOOKUP($A1928,#REF!,3,FALSE))</f>
        <v>x</v>
      </c>
      <c r="G1928" s="9">
        <f t="shared" si="93"/>
        <v>1</v>
      </c>
      <c r="H1928" s="13">
        <f t="shared" si="94"/>
        <v>232</v>
      </c>
    </row>
    <row r="1929" spans="1:8" x14ac:dyDescent="0.25">
      <c r="A1929" s="2" t="str">
        <f>"QUANA2H-3WW1"</f>
        <v>QUANA2H-3WW1</v>
      </c>
      <c r="B1929" s="2" t="str">
        <f>"QUAN Wandaußenleuchte, LED 4,5W, 3000K, horizontal, weiß"</f>
        <v>QUAN Wandaußenleuchte, LED 4,5W, 3000K, horizontal, weiß</v>
      </c>
      <c r="C1929" s="16">
        <v>232</v>
      </c>
      <c r="D1929" s="11">
        <v>296</v>
      </c>
      <c r="E1929" s="7">
        <f t="shared" si="92"/>
        <v>1</v>
      </c>
      <c r="F1929" s="22" t="str">
        <f>IF(ISERROR(VLOOKUP($A1929,#REF!,3,0)),"x",VLOOKUP($A1929,#REF!,3,FALSE))</f>
        <v>x</v>
      </c>
      <c r="G1929" s="9">
        <f t="shared" si="93"/>
        <v>1</v>
      </c>
      <c r="H1929" s="13">
        <f t="shared" si="94"/>
        <v>232</v>
      </c>
    </row>
    <row r="1930" spans="1:8" x14ac:dyDescent="0.25">
      <c r="A1930" s="2" t="str">
        <f>"QUANA2H-3WW6"</f>
        <v>QUANA2H-3WW6</v>
      </c>
      <c r="B1930" s="2" t="str">
        <f>"QUAN Wandaußenleuchte, LED 4,5W, 3000K, horizontal, graphitgrau"</f>
        <v>QUAN Wandaußenleuchte, LED 4,5W, 3000K, horizontal, graphitgrau</v>
      </c>
      <c r="C1930" s="16">
        <v>232</v>
      </c>
      <c r="D1930" s="11">
        <v>296</v>
      </c>
      <c r="E1930" s="7">
        <f t="shared" si="92"/>
        <v>1</v>
      </c>
      <c r="F1930" s="22" t="str">
        <f>IF(ISERROR(VLOOKUP($A1930,#REF!,3,0)),"x",VLOOKUP($A1930,#REF!,3,FALSE))</f>
        <v>x</v>
      </c>
      <c r="G1930" s="9">
        <f t="shared" si="93"/>
        <v>1</v>
      </c>
      <c r="H1930" s="13">
        <f t="shared" si="94"/>
        <v>232</v>
      </c>
    </row>
    <row r="1931" spans="1:8" x14ac:dyDescent="0.25">
      <c r="A1931" s="2" t="str">
        <f>"QUANA2H-3WW7"</f>
        <v>QUANA2H-3WW7</v>
      </c>
      <c r="B1931" s="2" t="str">
        <f>"QUAN Wandaußenleuchte, LED 4,5W, 3000K, horizontal, metallgrau"</f>
        <v>QUAN Wandaußenleuchte, LED 4,5W, 3000K, horizontal, metallgrau</v>
      </c>
      <c r="C1931" s="16">
        <v>232</v>
      </c>
      <c r="D1931" s="11">
        <v>296</v>
      </c>
      <c r="E1931" s="7">
        <f t="shared" si="92"/>
        <v>1</v>
      </c>
      <c r="F1931" s="22" t="str">
        <f>IF(ISERROR(VLOOKUP($A1931,#REF!,3,0)),"x",VLOOKUP($A1931,#REF!,3,FALSE))</f>
        <v>x</v>
      </c>
      <c r="G1931" s="9">
        <f t="shared" si="93"/>
        <v>1</v>
      </c>
      <c r="H1931" s="13">
        <f t="shared" si="94"/>
        <v>232</v>
      </c>
    </row>
    <row r="1932" spans="1:8" x14ac:dyDescent="0.25">
      <c r="A1932" s="2" t="str">
        <f>"QUANA2V-3NW1"</f>
        <v>QUANA2V-3NW1</v>
      </c>
      <c r="B1932" s="2" t="str">
        <f>"QUAN Wandaußenleuchte, LED 4,5W, 4000K, vertikal, weiß"</f>
        <v>QUAN Wandaußenleuchte, LED 4,5W, 4000K, vertikal, weiß</v>
      </c>
      <c r="C1932" s="16">
        <v>232</v>
      </c>
      <c r="D1932" s="11">
        <v>296</v>
      </c>
      <c r="E1932" s="7">
        <f t="shared" si="92"/>
        <v>1</v>
      </c>
      <c r="F1932" s="22" t="str">
        <f>IF(ISERROR(VLOOKUP($A1932,#REF!,3,0)),"x",VLOOKUP($A1932,#REF!,3,FALSE))</f>
        <v>x</v>
      </c>
      <c r="G1932" s="9">
        <f t="shared" si="93"/>
        <v>1</v>
      </c>
      <c r="H1932" s="13">
        <f t="shared" si="94"/>
        <v>232</v>
      </c>
    </row>
    <row r="1933" spans="1:8" x14ac:dyDescent="0.25">
      <c r="A1933" s="2" t="str">
        <f>"QUANA2V-3NW6"</f>
        <v>QUANA2V-3NW6</v>
      </c>
      <c r="B1933" s="2" t="str">
        <f>"QUAN Wandaußenleuchte, LED 4,5W, 4000K, vertikal, graphitgrau"</f>
        <v>QUAN Wandaußenleuchte, LED 4,5W, 4000K, vertikal, graphitgrau</v>
      </c>
      <c r="C1933" s="16">
        <v>232</v>
      </c>
      <c r="D1933" s="11">
        <v>296</v>
      </c>
      <c r="E1933" s="7">
        <f t="shared" si="92"/>
        <v>1</v>
      </c>
      <c r="F1933" s="22" t="str">
        <f>IF(ISERROR(VLOOKUP($A1933,#REF!,3,0)),"x",VLOOKUP($A1933,#REF!,3,FALSE))</f>
        <v>x</v>
      </c>
      <c r="G1933" s="9">
        <f t="shared" si="93"/>
        <v>1</v>
      </c>
      <c r="H1933" s="13">
        <f t="shared" si="94"/>
        <v>232</v>
      </c>
    </row>
    <row r="1934" spans="1:8" x14ac:dyDescent="0.25">
      <c r="A1934" s="2" t="str">
        <f>"QUANA2V-3NW7"</f>
        <v>QUANA2V-3NW7</v>
      </c>
      <c r="B1934" s="2" t="str">
        <f>"QUAN Wandaußenleuchte, LED 4,5W, 4000K, vertikal, metallgrau"</f>
        <v>QUAN Wandaußenleuchte, LED 4,5W, 4000K, vertikal, metallgrau</v>
      </c>
      <c r="C1934" s="16">
        <v>232</v>
      </c>
      <c r="D1934" s="11">
        <v>296</v>
      </c>
      <c r="E1934" s="7">
        <f t="shared" si="92"/>
        <v>1</v>
      </c>
      <c r="F1934" s="22" t="str">
        <f>IF(ISERROR(VLOOKUP($A1934,#REF!,3,0)),"x",VLOOKUP($A1934,#REF!,3,FALSE))</f>
        <v>x</v>
      </c>
      <c r="G1934" s="9">
        <f t="shared" si="93"/>
        <v>1</v>
      </c>
      <c r="H1934" s="13">
        <f t="shared" si="94"/>
        <v>232</v>
      </c>
    </row>
    <row r="1935" spans="1:8" x14ac:dyDescent="0.25">
      <c r="A1935" s="2" t="str">
        <f>"QUANA2V-3WW1"</f>
        <v>QUANA2V-3WW1</v>
      </c>
      <c r="B1935" s="2" t="str">
        <f>"QUAN Wandaußenleuchte, LED 4,5W, 3000K, vertikal, weiß"</f>
        <v>QUAN Wandaußenleuchte, LED 4,5W, 3000K, vertikal, weiß</v>
      </c>
      <c r="C1935" s="16">
        <v>232</v>
      </c>
      <c r="D1935" s="11">
        <v>296</v>
      </c>
      <c r="E1935" s="7">
        <f t="shared" si="92"/>
        <v>1</v>
      </c>
      <c r="F1935" s="22" t="str">
        <f>IF(ISERROR(VLOOKUP($A1935,#REF!,3,0)),"x",VLOOKUP($A1935,#REF!,3,FALSE))</f>
        <v>x</v>
      </c>
      <c r="G1935" s="9">
        <f t="shared" si="93"/>
        <v>1</v>
      </c>
      <c r="H1935" s="13">
        <f t="shared" si="94"/>
        <v>232</v>
      </c>
    </row>
    <row r="1936" spans="1:8" x14ac:dyDescent="0.25">
      <c r="A1936" s="2" t="str">
        <f>"QUANA2V-3WW6"</f>
        <v>QUANA2V-3WW6</v>
      </c>
      <c r="B1936" s="2" t="str">
        <f>"QUAN Wandaußenleuchte, LED 4,5W, 3000K, vertikal, graphitgrau"</f>
        <v>QUAN Wandaußenleuchte, LED 4,5W, 3000K, vertikal, graphitgrau</v>
      </c>
      <c r="C1936" s="16">
        <v>232</v>
      </c>
      <c r="D1936" s="11">
        <v>296</v>
      </c>
      <c r="E1936" s="7">
        <f t="shared" si="92"/>
        <v>1</v>
      </c>
      <c r="F1936" s="22" t="str">
        <f>IF(ISERROR(VLOOKUP($A1936,#REF!,3,0)),"x",VLOOKUP($A1936,#REF!,3,FALSE))</f>
        <v>x</v>
      </c>
      <c r="G1936" s="9">
        <f t="shared" si="93"/>
        <v>1</v>
      </c>
      <c r="H1936" s="13">
        <f t="shared" si="94"/>
        <v>232</v>
      </c>
    </row>
    <row r="1937" spans="1:8" x14ac:dyDescent="0.25">
      <c r="A1937" s="2" t="str">
        <f>"QUANA2V-3WW7"</f>
        <v>QUANA2V-3WW7</v>
      </c>
      <c r="B1937" s="2" t="str">
        <f>"QUAN Wandaußenleuchte, LED 4,5W, 3000K, vertikal, metallgrau"</f>
        <v>QUAN Wandaußenleuchte, LED 4,5W, 3000K, vertikal, metallgrau</v>
      </c>
      <c r="C1937" s="16">
        <v>232</v>
      </c>
      <c r="D1937" s="11">
        <v>296</v>
      </c>
      <c r="E1937" s="7">
        <f t="shared" si="92"/>
        <v>1</v>
      </c>
      <c r="F1937" s="22" t="str">
        <f>IF(ISERROR(VLOOKUP($A1937,#REF!,3,0)),"x",VLOOKUP($A1937,#REF!,3,FALSE))</f>
        <v>x</v>
      </c>
      <c r="G1937" s="9">
        <f t="shared" si="93"/>
        <v>1</v>
      </c>
      <c r="H1937" s="13">
        <f t="shared" si="94"/>
        <v>232</v>
      </c>
    </row>
    <row r="1938" spans="1:8" x14ac:dyDescent="0.25">
      <c r="A1938" s="2" t="str">
        <f>"QUANA3H-4NW1"</f>
        <v>QUANA3H-4NW1</v>
      </c>
      <c r="B1938" s="2" t="str">
        <f>"QUAN Wandaußenleuchte, LED 4,5W, 4000K, horizontal, weiß"</f>
        <v>QUAN Wandaußenleuchte, LED 4,5W, 4000K, horizontal, weiß</v>
      </c>
      <c r="C1938" s="16">
        <v>307.5</v>
      </c>
      <c r="D1938" s="11">
        <v>297</v>
      </c>
      <c r="E1938" s="7">
        <f t="shared" si="92"/>
        <v>1</v>
      </c>
      <c r="F1938" s="22" t="str">
        <f>IF(ISERROR(VLOOKUP($A1938,#REF!,3,0)),"x",VLOOKUP($A1938,#REF!,3,FALSE))</f>
        <v>x</v>
      </c>
      <c r="G1938" s="9">
        <f t="shared" si="93"/>
        <v>1</v>
      </c>
      <c r="H1938" s="13">
        <f t="shared" si="94"/>
        <v>307.5</v>
      </c>
    </row>
    <row r="1939" spans="1:8" x14ac:dyDescent="0.25">
      <c r="A1939" s="2" t="str">
        <f>"QUANA3H-4NW6"</f>
        <v>QUANA3H-4NW6</v>
      </c>
      <c r="B1939" s="2" t="str">
        <f>"QUAN Wandaußenleuchte, LED 4,5W, 4000K, horizontal, graphitgrau"</f>
        <v>QUAN Wandaußenleuchte, LED 4,5W, 4000K, horizontal, graphitgrau</v>
      </c>
      <c r="C1939" s="16">
        <v>307.5</v>
      </c>
      <c r="D1939" s="11">
        <v>297</v>
      </c>
      <c r="E1939" s="7">
        <f t="shared" si="92"/>
        <v>1</v>
      </c>
      <c r="F1939" s="22" t="str">
        <f>IF(ISERROR(VLOOKUP($A1939,#REF!,3,0)),"x",VLOOKUP($A1939,#REF!,3,FALSE))</f>
        <v>x</v>
      </c>
      <c r="G1939" s="9">
        <f t="shared" si="93"/>
        <v>1</v>
      </c>
      <c r="H1939" s="13">
        <f t="shared" si="94"/>
        <v>307.5</v>
      </c>
    </row>
    <row r="1940" spans="1:8" x14ac:dyDescent="0.25">
      <c r="A1940" s="2" t="str">
        <f>"QUANA3H-4NW7"</f>
        <v>QUANA3H-4NW7</v>
      </c>
      <c r="B1940" s="2" t="str">
        <f>"QUAN Wandaußenleuchte, LED 4,5W, 4000K, horizontal, metallgrau"</f>
        <v>QUAN Wandaußenleuchte, LED 4,5W, 4000K, horizontal, metallgrau</v>
      </c>
      <c r="C1940" s="16">
        <v>307.5</v>
      </c>
      <c r="D1940" s="11">
        <v>297</v>
      </c>
      <c r="E1940" s="7">
        <f t="shared" si="92"/>
        <v>1</v>
      </c>
      <c r="F1940" s="22" t="str">
        <f>IF(ISERROR(VLOOKUP($A1940,#REF!,3,0)),"x",VLOOKUP($A1940,#REF!,3,FALSE))</f>
        <v>x</v>
      </c>
      <c r="G1940" s="9">
        <f t="shared" si="93"/>
        <v>1</v>
      </c>
      <c r="H1940" s="13">
        <f t="shared" si="94"/>
        <v>307.5</v>
      </c>
    </row>
    <row r="1941" spans="1:8" x14ac:dyDescent="0.25">
      <c r="A1941" s="2" t="str">
        <f>"QUANA3H-4WW1"</f>
        <v>QUANA3H-4WW1</v>
      </c>
      <c r="B1941" s="2" t="str">
        <f>"QUAN Wandaußenleuchte, LED 4,5W, 3000K, horizontal, weiß"</f>
        <v>QUAN Wandaußenleuchte, LED 4,5W, 3000K, horizontal, weiß</v>
      </c>
      <c r="C1941" s="16">
        <v>307.5</v>
      </c>
      <c r="D1941" s="11">
        <v>297</v>
      </c>
      <c r="E1941" s="7">
        <f t="shared" si="92"/>
        <v>1</v>
      </c>
      <c r="F1941" s="22" t="str">
        <f>IF(ISERROR(VLOOKUP($A1941,#REF!,3,0)),"x",VLOOKUP($A1941,#REF!,3,FALSE))</f>
        <v>x</v>
      </c>
      <c r="G1941" s="9">
        <f t="shared" si="93"/>
        <v>1</v>
      </c>
      <c r="H1941" s="13">
        <f t="shared" si="94"/>
        <v>307.5</v>
      </c>
    </row>
    <row r="1942" spans="1:8" x14ac:dyDescent="0.25">
      <c r="A1942" s="2" t="str">
        <f>"QUANA3H-4WW6"</f>
        <v>QUANA3H-4WW6</v>
      </c>
      <c r="B1942" s="2" t="str">
        <f>"QUAN Wandaußenleuchte, LED 4,5W, 3000K, horizontal, graphitgrau"</f>
        <v>QUAN Wandaußenleuchte, LED 4,5W, 3000K, horizontal, graphitgrau</v>
      </c>
      <c r="C1942" s="16">
        <v>307.5</v>
      </c>
      <c r="D1942" s="11">
        <v>297</v>
      </c>
      <c r="E1942" s="7">
        <f t="shared" si="92"/>
        <v>1</v>
      </c>
      <c r="F1942" s="22" t="str">
        <f>IF(ISERROR(VLOOKUP($A1942,#REF!,3,0)),"x",VLOOKUP($A1942,#REF!,3,FALSE))</f>
        <v>x</v>
      </c>
      <c r="G1942" s="9">
        <f t="shared" si="93"/>
        <v>1</v>
      </c>
      <c r="H1942" s="13">
        <f t="shared" si="94"/>
        <v>307.5</v>
      </c>
    </row>
    <row r="1943" spans="1:8" x14ac:dyDescent="0.25">
      <c r="A1943" s="2" t="str">
        <f>"QUANA3H-4WW7"</f>
        <v>QUANA3H-4WW7</v>
      </c>
      <c r="B1943" s="2" t="str">
        <f>"QUAN Wandaußenleuchte, LED 4,5W, 3000K, horizontal, metallgrau"</f>
        <v>QUAN Wandaußenleuchte, LED 4,5W, 3000K, horizontal, metallgrau</v>
      </c>
      <c r="C1943" s="16">
        <v>307.5</v>
      </c>
      <c r="D1943" s="11">
        <v>297</v>
      </c>
      <c r="E1943" s="7">
        <f t="shared" si="92"/>
        <v>1</v>
      </c>
      <c r="F1943" s="22" t="str">
        <f>IF(ISERROR(VLOOKUP($A1943,#REF!,3,0)),"x",VLOOKUP($A1943,#REF!,3,FALSE))</f>
        <v>x</v>
      </c>
      <c r="G1943" s="9">
        <f t="shared" si="93"/>
        <v>1</v>
      </c>
      <c r="H1943" s="13">
        <f t="shared" si="94"/>
        <v>307.5</v>
      </c>
    </row>
    <row r="1944" spans="1:8" x14ac:dyDescent="0.25">
      <c r="A1944" s="2" t="str">
        <f>"QUANA3HF-4NW1"</f>
        <v>QUANA3HF-4NW1</v>
      </c>
      <c r="B1944" s="2" t="str">
        <f>"QUAN Wandaußenleuchte, LED 4,5W, Flood, 4000K, horizontal, weiß"</f>
        <v>QUAN Wandaußenleuchte, LED 4,5W, Flood, 4000K, horizontal, weiß</v>
      </c>
      <c r="C1944" s="16">
        <v>307.5</v>
      </c>
      <c r="D1944" s="11">
        <v>297</v>
      </c>
      <c r="E1944" s="7">
        <f t="shared" si="92"/>
        <v>1</v>
      </c>
      <c r="F1944" s="22" t="str">
        <f>IF(ISERROR(VLOOKUP($A1944,#REF!,3,0)),"x",VLOOKUP($A1944,#REF!,3,FALSE))</f>
        <v>x</v>
      </c>
      <c r="G1944" s="9">
        <f t="shared" si="93"/>
        <v>1</v>
      </c>
      <c r="H1944" s="13">
        <f t="shared" si="94"/>
        <v>307.5</v>
      </c>
    </row>
    <row r="1945" spans="1:8" x14ac:dyDescent="0.25">
      <c r="A1945" s="2" t="str">
        <f>"QUANA3HF-4NW6"</f>
        <v>QUANA3HF-4NW6</v>
      </c>
      <c r="B1945" s="2" t="str">
        <f>"QUAN Wandaußenleuchte, LED 4,5W, Flood, 4000K, horizontal, graphitgrau"</f>
        <v>QUAN Wandaußenleuchte, LED 4,5W, Flood, 4000K, horizontal, graphitgrau</v>
      </c>
      <c r="C1945" s="16">
        <v>307.5</v>
      </c>
      <c r="D1945" s="11">
        <v>297</v>
      </c>
      <c r="E1945" s="7">
        <f t="shared" si="92"/>
        <v>1</v>
      </c>
      <c r="F1945" s="22" t="str">
        <f>IF(ISERROR(VLOOKUP($A1945,#REF!,3,0)),"x",VLOOKUP($A1945,#REF!,3,FALSE))</f>
        <v>x</v>
      </c>
      <c r="G1945" s="9">
        <f t="shared" si="93"/>
        <v>1</v>
      </c>
      <c r="H1945" s="13">
        <f t="shared" si="94"/>
        <v>307.5</v>
      </c>
    </row>
    <row r="1946" spans="1:8" x14ac:dyDescent="0.25">
      <c r="A1946" s="2" t="str">
        <f>"QUANA3HF-4NW7"</f>
        <v>QUANA3HF-4NW7</v>
      </c>
      <c r="B1946" s="2" t="str">
        <f>"QUAN Wandaußenleuchte, LED 4,5W, Flood, 4000K, horizontal, metallgrau"</f>
        <v>QUAN Wandaußenleuchte, LED 4,5W, Flood, 4000K, horizontal, metallgrau</v>
      </c>
      <c r="C1946" s="16">
        <v>307.5</v>
      </c>
      <c r="D1946" s="11">
        <v>297</v>
      </c>
      <c r="E1946" s="7">
        <f t="shared" si="92"/>
        <v>1</v>
      </c>
      <c r="F1946" s="22" t="str">
        <f>IF(ISERROR(VLOOKUP($A1946,#REF!,3,0)),"x",VLOOKUP($A1946,#REF!,3,FALSE))</f>
        <v>x</v>
      </c>
      <c r="G1946" s="9">
        <f t="shared" si="93"/>
        <v>1</v>
      </c>
      <c r="H1946" s="13">
        <f t="shared" si="94"/>
        <v>307.5</v>
      </c>
    </row>
    <row r="1947" spans="1:8" x14ac:dyDescent="0.25">
      <c r="A1947" s="2" t="str">
        <f>"QUANA3HF-4WW1"</f>
        <v>QUANA3HF-4WW1</v>
      </c>
      <c r="B1947" s="2" t="str">
        <f>"QUAN Wandaußenleuchte, LED 4,5W, Flood, 3000K, horizontal, weiß"</f>
        <v>QUAN Wandaußenleuchte, LED 4,5W, Flood, 3000K, horizontal, weiß</v>
      </c>
      <c r="C1947" s="16">
        <v>307.5</v>
      </c>
      <c r="D1947" s="11">
        <v>297</v>
      </c>
      <c r="E1947" s="7">
        <f t="shared" si="92"/>
        <v>1</v>
      </c>
      <c r="F1947" s="22" t="str">
        <f>IF(ISERROR(VLOOKUP($A1947,#REF!,3,0)),"x",VLOOKUP($A1947,#REF!,3,FALSE))</f>
        <v>x</v>
      </c>
      <c r="G1947" s="9">
        <f t="shared" si="93"/>
        <v>1</v>
      </c>
      <c r="H1947" s="13">
        <f t="shared" si="94"/>
        <v>307.5</v>
      </c>
    </row>
    <row r="1948" spans="1:8" x14ac:dyDescent="0.25">
      <c r="A1948" s="2" t="str">
        <f>"QUANA3HF-4WW6"</f>
        <v>QUANA3HF-4WW6</v>
      </c>
      <c r="B1948" s="2" t="str">
        <f>"QUAN Wandaußenleuchte, LED 4,5W, Flood, 3000K, horizontal, graphitgrau"</f>
        <v>QUAN Wandaußenleuchte, LED 4,5W, Flood, 3000K, horizontal, graphitgrau</v>
      </c>
      <c r="C1948" s="16">
        <v>307.5</v>
      </c>
      <c r="D1948" s="11">
        <v>297</v>
      </c>
      <c r="E1948" s="7">
        <f t="shared" si="92"/>
        <v>1</v>
      </c>
      <c r="F1948" s="22" t="str">
        <f>IF(ISERROR(VLOOKUP($A1948,#REF!,3,0)),"x",VLOOKUP($A1948,#REF!,3,FALSE))</f>
        <v>x</v>
      </c>
      <c r="G1948" s="9">
        <f t="shared" si="93"/>
        <v>1</v>
      </c>
      <c r="H1948" s="13">
        <f t="shared" si="94"/>
        <v>307.5</v>
      </c>
    </row>
    <row r="1949" spans="1:8" x14ac:dyDescent="0.25">
      <c r="A1949" s="2" t="str">
        <f>"QUANA3HF-4WW7"</f>
        <v>QUANA3HF-4WW7</v>
      </c>
      <c r="B1949" s="2" t="str">
        <f>"QUAN Wandaußenleuchte, LED 4,5W, Flood, 3000K, horizontal, metallgrau"</f>
        <v>QUAN Wandaußenleuchte, LED 4,5W, Flood, 3000K, horizontal, metallgrau</v>
      </c>
      <c r="C1949" s="16">
        <v>307.5</v>
      </c>
      <c r="D1949" s="11">
        <v>297</v>
      </c>
      <c r="E1949" s="7">
        <f t="shared" si="92"/>
        <v>1</v>
      </c>
      <c r="F1949" s="22" t="str">
        <f>IF(ISERROR(VLOOKUP($A1949,#REF!,3,0)),"x",VLOOKUP($A1949,#REF!,3,FALSE))</f>
        <v>x</v>
      </c>
      <c r="G1949" s="9">
        <f t="shared" si="93"/>
        <v>1</v>
      </c>
      <c r="H1949" s="13">
        <f t="shared" si="94"/>
        <v>307.5</v>
      </c>
    </row>
    <row r="1950" spans="1:8" x14ac:dyDescent="0.25">
      <c r="A1950" s="2" t="str">
        <f>"QUANA3HR-4NW1"</f>
        <v>QUANA3HR-4NW1</v>
      </c>
      <c r="B1950" s="2" t="str">
        <f>"QUAN Wandaußenleuchte, LED 4,5W, Raster, 4000K, horizontal, weiß"</f>
        <v>QUAN Wandaußenleuchte, LED 4,5W, Raster, 4000K, horizontal, weiß</v>
      </c>
      <c r="C1950" s="16">
        <v>310</v>
      </c>
      <c r="D1950" s="11">
        <v>297</v>
      </c>
      <c r="E1950" s="7">
        <f t="shared" si="92"/>
        <v>1</v>
      </c>
      <c r="F1950" s="22" t="str">
        <f>IF(ISERROR(VLOOKUP($A1950,#REF!,3,0)),"x",VLOOKUP($A1950,#REF!,3,FALSE))</f>
        <v>x</v>
      </c>
      <c r="G1950" s="9">
        <f t="shared" si="93"/>
        <v>1</v>
      </c>
      <c r="H1950" s="13">
        <f t="shared" si="94"/>
        <v>310</v>
      </c>
    </row>
    <row r="1951" spans="1:8" x14ac:dyDescent="0.25">
      <c r="A1951" s="2" t="str">
        <f>"QUANA3HR-4NW6"</f>
        <v>QUANA3HR-4NW6</v>
      </c>
      <c r="B1951" s="2" t="str">
        <f>"QUAN Wandaußenleuchte, LED 4,5W, Raster, 4000K, horizontal, graphitgrau"</f>
        <v>QUAN Wandaußenleuchte, LED 4,5W, Raster, 4000K, horizontal, graphitgrau</v>
      </c>
      <c r="C1951" s="16">
        <v>310</v>
      </c>
      <c r="D1951" s="11">
        <v>297</v>
      </c>
      <c r="E1951" s="7">
        <f t="shared" si="92"/>
        <v>1</v>
      </c>
      <c r="F1951" s="22" t="str">
        <f>IF(ISERROR(VLOOKUP($A1951,#REF!,3,0)),"x",VLOOKUP($A1951,#REF!,3,FALSE))</f>
        <v>x</v>
      </c>
      <c r="G1951" s="9">
        <f t="shared" si="93"/>
        <v>1</v>
      </c>
      <c r="H1951" s="13">
        <f t="shared" si="94"/>
        <v>310</v>
      </c>
    </row>
    <row r="1952" spans="1:8" x14ac:dyDescent="0.25">
      <c r="A1952" s="2" t="str">
        <f>"QUANA3HR-4NW7"</f>
        <v>QUANA3HR-4NW7</v>
      </c>
      <c r="B1952" s="2" t="str">
        <f>"QUAN Wandaußenleuchte, LED 4,5W, Raster, 4000K, horizontal, metallgrau"</f>
        <v>QUAN Wandaußenleuchte, LED 4,5W, Raster, 4000K, horizontal, metallgrau</v>
      </c>
      <c r="C1952" s="16">
        <v>310</v>
      </c>
      <c r="D1952" s="11">
        <v>297</v>
      </c>
      <c r="E1952" s="7">
        <f t="shared" si="92"/>
        <v>1</v>
      </c>
      <c r="F1952" s="22" t="str">
        <f>IF(ISERROR(VLOOKUP($A1952,#REF!,3,0)),"x",VLOOKUP($A1952,#REF!,3,FALSE))</f>
        <v>x</v>
      </c>
      <c r="G1952" s="9">
        <f t="shared" si="93"/>
        <v>1</v>
      </c>
      <c r="H1952" s="13">
        <f t="shared" si="94"/>
        <v>310</v>
      </c>
    </row>
    <row r="1953" spans="1:8" x14ac:dyDescent="0.25">
      <c r="A1953" s="2" t="str">
        <f>"QUANA3HR-4WW1"</f>
        <v>QUANA3HR-4WW1</v>
      </c>
      <c r="B1953" s="2" t="str">
        <f>"QUAN Wandaußenleuchte, LED 4,5W, Raster, 3000K, horizontal, weiß"</f>
        <v>QUAN Wandaußenleuchte, LED 4,5W, Raster, 3000K, horizontal, weiß</v>
      </c>
      <c r="C1953" s="16">
        <v>310</v>
      </c>
      <c r="D1953" s="11">
        <v>297</v>
      </c>
      <c r="E1953" s="7">
        <f t="shared" si="92"/>
        <v>1</v>
      </c>
      <c r="F1953" s="22" t="str">
        <f>IF(ISERROR(VLOOKUP($A1953,#REF!,3,0)),"x",VLOOKUP($A1953,#REF!,3,FALSE))</f>
        <v>x</v>
      </c>
      <c r="G1953" s="9">
        <f t="shared" si="93"/>
        <v>1</v>
      </c>
      <c r="H1953" s="13">
        <f t="shared" si="94"/>
        <v>310</v>
      </c>
    </row>
    <row r="1954" spans="1:8" x14ac:dyDescent="0.25">
      <c r="A1954" s="2" t="str">
        <f>"QUANA3HR-4WW6"</f>
        <v>QUANA3HR-4WW6</v>
      </c>
      <c r="B1954" s="2" t="str">
        <f>"QUAN Wandaußenleuchte, LED 4,5W, Raster, 3000K, horizontal, graphitgrau"</f>
        <v>QUAN Wandaußenleuchte, LED 4,5W, Raster, 3000K, horizontal, graphitgrau</v>
      </c>
      <c r="C1954" s="16">
        <v>310</v>
      </c>
      <c r="D1954" s="11">
        <v>297</v>
      </c>
      <c r="E1954" s="7">
        <f t="shared" si="92"/>
        <v>1</v>
      </c>
      <c r="F1954" s="22" t="str">
        <f>IF(ISERROR(VLOOKUP($A1954,#REF!,3,0)),"x",VLOOKUP($A1954,#REF!,3,FALSE))</f>
        <v>x</v>
      </c>
      <c r="G1954" s="9">
        <f t="shared" si="93"/>
        <v>1</v>
      </c>
      <c r="H1954" s="13">
        <f t="shared" si="94"/>
        <v>310</v>
      </c>
    </row>
    <row r="1955" spans="1:8" x14ac:dyDescent="0.25">
      <c r="A1955" s="2" t="str">
        <f>"QUANA3HR-4WW7"</f>
        <v>QUANA3HR-4WW7</v>
      </c>
      <c r="B1955" s="2" t="str">
        <f>"QUAN Wandaußenleuchte, LED 4,5W, Raster, 3000K, horizontal, metallgrau"</f>
        <v>QUAN Wandaußenleuchte, LED 4,5W, Raster, 3000K, horizontal, metallgrau</v>
      </c>
      <c r="C1955" s="16">
        <v>310</v>
      </c>
      <c r="D1955" s="11">
        <v>297</v>
      </c>
      <c r="E1955" s="7">
        <f t="shared" si="92"/>
        <v>1</v>
      </c>
      <c r="F1955" s="22" t="str">
        <f>IF(ISERROR(VLOOKUP($A1955,#REF!,3,0)),"x",VLOOKUP($A1955,#REF!,3,FALSE))</f>
        <v>x</v>
      </c>
      <c r="G1955" s="9">
        <f t="shared" si="93"/>
        <v>1</v>
      </c>
      <c r="H1955" s="13">
        <f t="shared" si="94"/>
        <v>310</v>
      </c>
    </row>
    <row r="1956" spans="1:8" x14ac:dyDescent="0.25">
      <c r="A1956" s="2" t="str">
        <f>"QUANG1H-2NW"</f>
        <v>QUANG1H-2NW</v>
      </c>
      <c r="B1956" s="2" t="str">
        <f>"QUAN Wandaußenleuchte, LED 2W, 4000K, horizontal, Glas"</f>
        <v>QUAN Wandaußenleuchte, LED 2W, 4000K, horizontal, Glas</v>
      </c>
      <c r="C1956" s="16">
        <v>177.25</v>
      </c>
      <c r="D1956" s="11">
        <v>296</v>
      </c>
      <c r="E1956" s="7">
        <f t="shared" si="92"/>
        <v>1</v>
      </c>
      <c r="F1956" s="22" t="str">
        <f>IF(ISERROR(VLOOKUP($A1956,#REF!,3,0)),"x",VLOOKUP($A1956,#REF!,3,FALSE))</f>
        <v>x</v>
      </c>
      <c r="G1956" s="9">
        <f t="shared" si="93"/>
        <v>1</v>
      </c>
      <c r="H1956" s="13">
        <f t="shared" si="94"/>
        <v>177.25</v>
      </c>
    </row>
    <row r="1957" spans="1:8" x14ac:dyDescent="0.25">
      <c r="A1957" s="2" t="str">
        <f>"QUANG1H-2WW"</f>
        <v>QUANG1H-2WW</v>
      </c>
      <c r="B1957" s="2" t="str">
        <f>"QUAN Wandaußenleuchte, LED 2W, 3000K, horizontal, Glas"</f>
        <v>QUAN Wandaußenleuchte, LED 2W, 3000K, horizontal, Glas</v>
      </c>
      <c r="C1957" s="16">
        <v>177.25</v>
      </c>
      <c r="D1957" s="11">
        <v>296</v>
      </c>
      <c r="E1957" s="7">
        <f t="shared" si="92"/>
        <v>1</v>
      </c>
      <c r="F1957" s="22" t="str">
        <f>IF(ISERROR(VLOOKUP($A1957,#REF!,3,0)),"x",VLOOKUP($A1957,#REF!,3,FALSE))</f>
        <v>x</v>
      </c>
      <c r="G1957" s="9">
        <f t="shared" si="93"/>
        <v>1</v>
      </c>
      <c r="H1957" s="13">
        <f t="shared" si="94"/>
        <v>177.25</v>
      </c>
    </row>
    <row r="1958" spans="1:8" x14ac:dyDescent="0.25">
      <c r="A1958" s="2" t="str">
        <f>"QUANG2H-3NW"</f>
        <v>QUANG2H-3NW</v>
      </c>
      <c r="B1958" s="2" t="str">
        <f>"QUAN Wandaußenleuchte, LED 4,5W, 4000K, horizontal, Glas"</f>
        <v>QUAN Wandaußenleuchte, LED 4,5W, 4000K, horizontal, Glas</v>
      </c>
      <c r="C1958" s="16">
        <v>255.5</v>
      </c>
      <c r="D1958" s="11">
        <v>296</v>
      </c>
      <c r="E1958" s="7">
        <f t="shared" si="92"/>
        <v>1</v>
      </c>
      <c r="F1958" s="22" t="str">
        <f>IF(ISERROR(VLOOKUP($A1958,#REF!,3,0)),"x",VLOOKUP($A1958,#REF!,3,FALSE))</f>
        <v>x</v>
      </c>
      <c r="G1958" s="9">
        <f t="shared" si="93"/>
        <v>1</v>
      </c>
      <c r="H1958" s="13">
        <f t="shared" si="94"/>
        <v>255.5</v>
      </c>
    </row>
    <row r="1959" spans="1:8" x14ac:dyDescent="0.25">
      <c r="A1959" s="2" t="str">
        <f>"QUANG2H-3WW"</f>
        <v>QUANG2H-3WW</v>
      </c>
      <c r="B1959" s="2" t="str">
        <f>"QUAN Wandaußenleuchte, LED 4,5W, 3000K, horizontal, Glas"</f>
        <v>QUAN Wandaußenleuchte, LED 4,5W, 3000K, horizontal, Glas</v>
      </c>
      <c r="C1959" s="16">
        <v>255.5</v>
      </c>
      <c r="D1959" s="11">
        <v>296</v>
      </c>
      <c r="E1959" s="7">
        <f t="shared" si="92"/>
        <v>1</v>
      </c>
      <c r="F1959" s="22" t="str">
        <f>IF(ISERROR(VLOOKUP($A1959,#REF!,3,0)),"x",VLOOKUP($A1959,#REF!,3,FALSE))</f>
        <v>x</v>
      </c>
      <c r="G1959" s="9">
        <f t="shared" si="93"/>
        <v>1</v>
      </c>
      <c r="H1959" s="13">
        <f t="shared" si="94"/>
        <v>255.5</v>
      </c>
    </row>
    <row r="1960" spans="1:8" x14ac:dyDescent="0.25">
      <c r="A1960" s="2" t="str">
        <f>"QUANG2V-3NW"</f>
        <v>QUANG2V-3NW</v>
      </c>
      <c r="B1960" s="2" t="str">
        <f>"QUAN Wandaußenleuchte, LED 4,5W, 4000K, vertikal, Glas"</f>
        <v>QUAN Wandaußenleuchte, LED 4,5W, 4000K, vertikal, Glas</v>
      </c>
      <c r="C1960" s="16">
        <v>252.75</v>
      </c>
      <c r="D1960" s="11">
        <v>296</v>
      </c>
      <c r="E1960" s="7">
        <f t="shared" si="92"/>
        <v>1</v>
      </c>
      <c r="F1960" s="22" t="str">
        <f>IF(ISERROR(VLOOKUP($A1960,#REF!,3,0)),"x",VLOOKUP($A1960,#REF!,3,FALSE))</f>
        <v>x</v>
      </c>
      <c r="G1960" s="9">
        <f t="shared" si="93"/>
        <v>1</v>
      </c>
      <c r="H1960" s="13">
        <f t="shared" si="94"/>
        <v>252.75</v>
      </c>
    </row>
    <row r="1961" spans="1:8" x14ac:dyDescent="0.25">
      <c r="A1961" s="2" t="str">
        <f>"QUANG2V-3WW"</f>
        <v>QUANG2V-3WW</v>
      </c>
      <c r="B1961" s="2" t="str">
        <f>"QUAN Wandaußenleuchte, LED 4,5W, 3000K, vertikal, Glas"</f>
        <v>QUAN Wandaußenleuchte, LED 4,5W, 3000K, vertikal, Glas</v>
      </c>
      <c r="C1961" s="16">
        <v>252.75</v>
      </c>
      <c r="D1961" s="11">
        <v>296</v>
      </c>
      <c r="E1961" s="7">
        <f t="shared" si="92"/>
        <v>1</v>
      </c>
      <c r="F1961" s="22" t="str">
        <f>IF(ISERROR(VLOOKUP($A1961,#REF!,3,0)),"x",VLOOKUP($A1961,#REF!,3,FALSE))</f>
        <v>x</v>
      </c>
      <c r="G1961" s="9">
        <f t="shared" si="93"/>
        <v>1</v>
      </c>
      <c r="H1961" s="13">
        <f t="shared" si="94"/>
        <v>252.75</v>
      </c>
    </row>
    <row r="1962" spans="1:8" x14ac:dyDescent="0.25">
      <c r="A1962" s="2" t="str">
        <f>"QUANG3H-4NW"</f>
        <v>QUANG3H-4NW</v>
      </c>
      <c r="B1962" s="2" t="str">
        <f>"QUAN Wandaußenleuchte, LED 4,5W, 4000K, horizontal, Glas"</f>
        <v>QUAN Wandaußenleuchte, LED 4,5W, 4000K, horizontal, Glas</v>
      </c>
      <c r="C1962" s="16">
        <v>333.5</v>
      </c>
      <c r="D1962" s="11">
        <v>297</v>
      </c>
      <c r="E1962" s="7">
        <f t="shared" si="92"/>
        <v>1</v>
      </c>
      <c r="F1962" s="22" t="str">
        <f>IF(ISERROR(VLOOKUP($A1962,#REF!,3,0)),"x",VLOOKUP($A1962,#REF!,3,FALSE))</f>
        <v>x</v>
      </c>
      <c r="G1962" s="9">
        <f t="shared" si="93"/>
        <v>1</v>
      </c>
      <c r="H1962" s="13">
        <f t="shared" si="94"/>
        <v>333.5</v>
      </c>
    </row>
    <row r="1963" spans="1:8" x14ac:dyDescent="0.25">
      <c r="A1963" s="2" t="str">
        <f>"QUANG3H-4WW"</f>
        <v>QUANG3H-4WW</v>
      </c>
      <c r="B1963" s="2" t="str">
        <f>"QUAN Wandaußenleuchte, LED 4,5W, 3000K, horizontal, Glas"</f>
        <v>QUAN Wandaußenleuchte, LED 4,5W, 3000K, horizontal, Glas</v>
      </c>
      <c r="C1963" s="16">
        <v>333.5</v>
      </c>
      <c r="D1963" s="11">
        <v>297</v>
      </c>
      <c r="E1963" s="7">
        <f t="shared" si="92"/>
        <v>1</v>
      </c>
      <c r="F1963" s="22" t="str">
        <f>IF(ISERROR(VLOOKUP($A1963,#REF!,3,0)),"x",VLOOKUP($A1963,#REF!,3,FALSE))</f>
        <v>x</v>
      </c>
      <c r="G1963" s="9">
        <f t="shared" si="93"/>
        <v>1</v>
      </c>
      <c r="H1963" s="13">
        <f t="shared" si="94"/>
        <v>333.5</v>
      </c>
    </row>
    <row r="1964" spans="1:8" x14ac:dyDescent="0.25">
      <c r="A1964" s="2" t="str">
        <f>"QUANP1-13NW6"</f>
        <v>QUANP1-13NW6</v>
      </c>
      <c r="B1964" s="2" t="str">
        <f>"5593GR4K Quantum Alu-Mast, LED,13W, H=825 mm, 4000K, graphitgrau"</f>
        <v>5593GR4K Quantum Alu-Mast, LED,13W, H=825 mm, 4000K, graphitgrau</v>
      </c>
      <c r="C1964" s="16">
        <v>595</v>
      </c>
      <c r="D1964" s="11">
        <v>331</v>
      </c>
      <c r="E1964" s="7">
        <f t="shared" si="92"/>
        <v>1</v>
      </c>
      <c r="F1964" s="22" t="str">
        <f>IF(ISERROR(VLOOKUP($A1964,#REF!,3,0)),"x",VLOOKUP($A1964,#REF!,3,FALSE))</f>
        <v>x</v>
      </c>
      <c r="G1964" s="9">
        <f t="shared" si="93"/>
        <v>1</v>
      </c>
      <c r="H1964" s="13">
        <f t="shared" si="94"/>
        <v>595</v>
      </c>
    </row>
    <row r="1965" spans="1:8" x14ac:dyDescent="0.25">
      <c r="A1965" s="2" t="str">
        <f>"QUANP1-13NW7"</f>
        <v>QUANP1-13NW7</v>
      </c>
      <c r="B1965" s="2" t="str">
        <f>"5593GM4K Quantum Alu-Mast, LED,13W, H=825 mm, 4000K, metallgrau"</f>
        <v>5593GM4K Quantum Alu-Mast, LED,13W, H=825 mm, 4000K, metallgrau</v>
      </c>
      <c r="C1965" s="16">
        <v>595</v>
      </c>
      <c r="D1965" s="11">
        <v>331</v>
      </c>
      <c r="E1965" s="7">
        <f t="shared" si="92"/>
        <v>1</v>
      </c>
      <c r="F1965" s="22" t="str">
        <f>IF(ISERROR(VLOOKUP($A1965,#REF!,3,0)),"x",VLOOKUP($A1965,#REF!,3,FALSE))</f>
        <v>x</v>
      </c>
      <c r="G1965" s="9">
        <f t="shared" si="93"/>
        <v>1</v>
      </c>
      <c r="H1965" s="13">
        <f t="shared" si="94"/>
        <v>595</v>
      </c>
    </row>
    <row r="1966" spans="1:8" x14ac:dyDescent="0.25">
      <c r="A1966" s="2" t="str">
        <f>"QUANP1-13WW6"</f>
        <v>QUANP1-13WW6</v>
      </c>
      <c r="B1966" s="2" t="str">
        <f>"5593GR3K Quantum Alu-Mast, LED,13W, H=825 mm, 3000K, graphitgrau  "</f>
        <v xml:space="preserve">5593GR3K Quantum Alu-Mast, LED,13W, H=825 mm, 3000K, graphitgrau  </v>
      </c>
      <c r="C1966" s="16">
        <v>595</v>
      </c>
      <c r="D1966" s="11">
        <v>331</v>
      </c>
      <c r="E1966" s="7">
        <f t="shared" si="92"/>
        <v>1</v>
      </c>
      <c r="F1966" s="22" t="str">
        <f>IF(ISERROR(VLOOKUP($A1966,#REF!,3,0)),"x",VLOOKUP($A1966,#REF!,3,FALSE))</f>
        <v>x</v>
      </c>
      <c r="G1966" s="9">
        <f t="shared" si="93"/>
        <v>1</v>
      </c>
      <c r="H1966" s="13">
        <f t="shared" si="94"/>
        <v>595</v>
      </c>
    </row>
    <row r="1967" spans="1:8" x14ac:dyDescent="0.25">
      <c r="A1967" s="2" t="str">
        <f>"QUANP1-13WW7"</f>
        <v>QUANP1-13WW7</v>
      </c>
      <c r="B1967" s="2" t="str">
        <f>"5593GM3K Quantum Alu-Mast, LED,13W, H=825 mm, 3000K, metallgrau"</f>
        <v>5593GM3K Quantum Alu-Mast, LED,13W, H=825 mm, 3000K, metallgrau</v>
      </c>
      <c r="C1967" s="16">
        <v>595</v>
      </c>
      <c r="D1967" s="11">
        <v>331</v>
      </c>
      <c r="E1967" s="7">
        <f t="shared" si="92"/>
        <v>1</v>
      </c>
      <c r="F1967" s="22" t="str">
        <f>IF(ISERROR(VLOOKUP($A1967,#REF!,3,0)),"x",VLOOKUP($A1967,#REF!,3,FALSE))</f>
        <v>x</v>
      </c>
      <c r="G1967" s="9">
        <f t="shared" si="93"/>
        <v>1</v>
      </c>
      <c r="H1967" s="13">
        <f t="shared" si="94"/>
        <v>595</v>
      </c>
    </row>
    <row r="1968" spans="1:8" x14ac:dyDescent="0.25">
      <c r="A1968" s="2" t="str">
        <f>"QUANP2-13NW6"</f>
        <v>QUANP2-13NW6</v>
      </c>
      <c r="B1968" s="2" t="str">
        <f>"5594GR4K Quantum Alu-Mast, LED, 13W, H=580 mm, 4000K, graphitgrau"</f>
        <v>5594GR4K Quantum Alu-Mast, LED, 13W, H=580 mm, 4000K, graphitgrau</v>
      </c>
      <c r="C1968" s="16">
        <v>552.5</v>
      </c>
      <c r="D1968" s="11">
        <v>331</v>
      </c>
      <c r="E1968" s="7">
        <f t="shared" si="92"/>
        <v>1</v>
      </c>
      <c r="F1968" s="22" t="str">
        <f>IF(ISERROR(VLOOKUP($A1968,#REF!,3,0)),"x",VLOOKUP($A1968,#REF!,3,FALSE))</f>
        <v>x</v>
      </c>
      <c r="G1968" s="9">
        <f t="shared" si="93"/>
        <v>1</v>
      </c>
      <c r="H1968" s="13">
        <f t="shared" si="94"/>
        <v>552.5</v>
      </c>
    </row>
    <row r="1969" spans="1:8" x14ac:dyDescent="0.25">
      <c r="A1969" s="2" t="str">
        <f>"QUANP2-13NW7"</f>
        <v>QUANP2-13NW7</v>
      </c>
      <c r="B1969" s="2" t="str">
        <f>"5594GM4K Quantum Alu-Mast, LED, 13W, H=580 mm, 4000K, metallgrau"</f>
        <v>5594GM4K Quantum Alu-Mast, LED, 13W, H=580 mm, 4000K, metallgrau</v>
      </c>
      <c r="C1969" s="16">
        <v>552.5</v>
      </c>
      <c r="D1969" s="11">
        <v>331</v>
      </c>
      <c r="E1969" s="7">
        <f t="shared" si="92"/>
        <v>1</v>
      </c>
      <c r="F1969" s="22" t="str">
        <f>IF(ISERROR(VLOOKUP($A1969,#REF!,3,0)),"x",VLOOKUP($A1969,#REF!,3,FALSE))</f>
        <v>x</v>
      </c>
      <c r="G1969" s="9">
        <f t="shared" si="93"/>
        <v>1</v>
      </c>
      <c r="H1969" s="13">
        <f t="shared" si="94"/>
        <v>552.5</v>
      </c>
    </row>
    <row r="1970" spans="1:8" x14ac:dyDescent="0.25">
      <c r="A1970" s="2" t="str">
        <f>"QUANP2-13WW6"</f>
        <v>QUANP2-13WW6</v>
      </c>
      <c r="B1970" s="2" t="str">
        <f>"5594GR3K Quantum Alu-Mast, LED, 13W, H=580 mm, 3000K, graphitgrau"</f>
        <v>5594GR3K Quantum Alu-Mast, LED, 13W, H=580 mm, 3000K, graphitgrau</v>
      </c>
      <c r="C1970" s="16">
        <v>552.5</v>
      </c>
      <c r="D1970" s="11">
        <v>331</v>
      </c>
      <c r="E1970" s="7">
        <f t="shared" si="92"/>
        <v>1</v>
      </c>
      <c r="F1970" s="22" t="str">
        <f>IF(ISERROR(VLOOKUP($A1970,#REF!,3,0)),"x",VLOOKUP($A1970,#REF!,3,FALSE))</f>
        <v>x</v>
      </c>
      <c r="G1970" s="9">
        <f t="shared" si="93"/>
        <v>1</v>
      </c>
      <c r="H1970" s="13">
        <f t="shared" si="94"/>
        <v>552.5</v>
      </c>
    </row>
    <row r="1971" spans="1:8" x14ac:dyDescent="0.25">
      <c r="A1971" s="2" t="str">
        <f>"QUANP2-13WW7"</f>
        <v>QUANP2-13WW7</v>
      </c>
      <c r="B1971" s="2" t="str">
        <f>"5594GM3K Quantum Alu-Mast, LED, 13W, H=580 mm, 3000K, metallgrau"</f>
        <v>5594GM3K Quantum Alu-Mast, LED, 13W, H=580 mm, 3000K, metallgrau</v>
      </c>
      <c r="C1971" s="16">
        <v>552.5</v>
      </c>
      <c r="D1971" s="11">
        <v>331</v>
      </c>
      <c r="E1971" s="7">
        <f t="shared" si="92"/>
        <v>1</v>
      </c>
      <c r="F1971" s="22" t="str">
        <f>IF(ISERROR(VLOOKUP($A1971,#REF!,3,0)),"x",VLOOKUP($A1971,#REF!,3,FALSE))</f>
        <v>x</v>
      </c>
      <c r="G1971" s="9">
        <f t="shared" si="93"/>
        <v>1</v>
      </c>
      <c r="H1971" s="13">
        <f t="shared" si="94"/>
        <v>552.5</v>
      </c>
    </row>
    <row r="1972" spans="1:8" x14ac:dyDescent="0.25">
      <c r="A1972" s="2" t="str">
        <f>"RAF-42SCW7D"</f>
        <v>RAF-42SCW7D</v>
      </c>
      <c r="B1972" s="2" t="str">
        <f>"Anbauleuchte LED ca. 37W, 6500K, CRI &gt;90, 1195mm, mit Schlüsselschalter"</f>
        <v>Anbauleuchte LED ca. 37W, 6500K, CRI &gt;90, 1195mm, mit Schlüsselschalter</v>
      </c>
      <c r="C1972" s="16">
        <v>870.25</v>
      </c>
      <c r="D1972" s="11">
        <v>85</v>
      </c>
      <c r="E1972" s="7">
        <f t="shared" si="92"/>
        <v>1</v>
      </c>
      <c r="F1972" s="22" t="str">
        <f>IF(ISERROR(VLOOKUP($A1972,#REF!,3,0)),"x",VLOOKUP($A1972,#REF!,3,FALSE))</f>
        <v>x</v>
      </c>
      <c r="G1972" s="9">
        <f t="shared" si="93"/>
        <v>1</v>
      </c>
      <c r="H1972" s="13">
        <f t="shared" si="94"/>
        <v>870.25</v>
      </c>
    </row>
    <row r="1973" spans="1:8" x14ac:dyDescent="0.25">
      <c r="A1973" s="2" t="str">
        <f>"RAF-42SCW7D-1-10V"</f>
        <v>RAF-42SCW7D-1-10V</v>
      </c>
      <c r="B1973" s="2" t="str">
        <f>"Anbauleuchte LED ca. 37W, 6500K, CRI &gt;90, 1195mm, EVG DIM 1-10V"</f>
        <v>Anbauleuchte LED ca. 37W, 6500K, CRI &gt;90, 1195mm, EVG DIM 1-10V</v>
      </c>
      <c r="C1973" s="16">
        <v>870.25</v>
      </c>
      <c r="D1973" s="11">
        <v>85</v>
      </c>
      <c r="E1973" s="7">
        <f t="shared" si="92"/>
        <v>1</v>
      </c>
      <c r="F1973" s="22" t="str">
        <f>IF(ISERROR(VLOOKUP($A1973,#REF!,3,0)),"x",VLOOKUP($A1973,#REF!,3,FALSE))</f>
        <v>x</v>
      </c>
      <c r="G1973" s="9">
        <f t="shared" si="93"/>
        <v>1</v>
      </c>
      <c r="H1973" s="13">
        <f t="shared" si="94"/>
        <v>870.25</v>
      </c>
    </row>
    <row r="1974" spans="1:8" x14ac:dyDescent="0.25">
      <c r="A1974" s="2" t="str">
        <f>"S-CLOCK"</f>
        <v>S-CLOCK</v>
      </c>
      <c r="B1974" s="2" t="str">
        <f>"4691 Gartenspieß für CLOCK, H= 418 mm, Polycarbonat"</f>
        <v>4691 Gartenspieß für CLOCK, H= 418 mm, Polycarbonat</v>
      </c>
      <c r="C1974" s="16">
        <v>30</v>
      </c>
      <c r="D1974" s="11">
        <v>311</v>
      </c>
      <c r="E1974" s="7">
        <f t="shared" si="92"/>
        <v>1</v>
      </c>
      <c r="F1974" s="22" t="str">
        <f>IF(ISERROR(VLOOKUP($A1974,#REF!,3,0)),"x",VLOOKUP($A1974,#REF!,3,FALSE))</f>
        <v>x</v>
      </c>
      <c r="G1974" s="9">
        <f t="shared" si="93"/>
        <v>1</v>
      </c>
      <c r="H1974" s="13">
        <f t="shared" si="94"/>
        <v>30</v>
      </c>
    </row>
    <row r="1975" spans="1:8" x14ac:dyDescent="0.25">
      <c r="A1975" s="2" t="str">
        <f>"S-K3POWER"</f>
        <v>S-K3POWER</v>
      </c>
      <c r="B1975" s="2" t="str">
        <f>"1192 Erdspieß für K3 POWER, H=530 mm, mit Befestigungsplatte inkl. Gelenkbügel"</f>
        <v>1192 Erdspieß für K3 POWER, H=530 mm, mit Befestigungsplatte inkl. Gelenkbügel</v>
      </c>
      <c r="C1975" s="16">
        <v>81</v>
      </c>
      <c r="D1975" s="11">
        <v>278</v>
      </c>
      <c r="E1975" s="7">
        <f t="shared" si="92"/>
        <v>1</v>
      </c>
      <c r="F1975" s="22" t="str">
        <f>IF(ISERROR(VLOOKUP($A1975,#REF!,3,0)),"x",VLOOKUP($A1975,#REF!,3,FALSE))</f>
        <v>x</v>
      </c>
      <c r="G1975" s="9">
        <f t="shared" si="93"/>
        <v>1</v>
      </c>
      <c r="H1975" s="13">
        <f t="shared" si="94"/>
        <v>81</v>
      </c>
    </row>
    <row r="1976" spans="1:8" x14ac:dyDescent="0.25">
      <c r="A1976" s="2" t="str">
        <f>"SCH-001KLN"</f>
        <v>SCH-001KLN</v>
      </c>
      <c r="B1976" s="2" t="str">
        <f>"Deckenclip, für Rasterdecken, RAL 9016 verkehrsweiß"</f>
        <v>Deckenclip, für Rasterdecken, RAL 9016 verkehrsweiß</v>
      </c>
      <c r="C1976" s="16">
        <v>5.25</v>
      </c>
      <c r="D1976" s="11">
        <v>53</v>
      </c>
      <c r="E1976" s="7">
        <f t="shared" si="92"/>
        <v>1</v>
      </c>
      <c r="F1976" s="22" t="str">
        <f>IF(ISERROR(VLOOKUP($A1976,#REF!,3,0)),"x",VLOOKUP($A1976,#REF!,3,FALSE))</f>
        <v>x</v>
      </c>
      <c r="G1976" s="9">
        <f t="shared" si="93"/>
        <v>1</v>
      </c>
      <c r="H1976" s="13">
        <f t="shared" si="94"/>
        <v>5.25</v>
      </c>
    </row>
    <row r="1977" spans="1:8" x14ac:dyDescent="0.25">
      <c r="A1977" s="2" t="str">
        <f>"SCH-001N"</f>
        <v>SCH-001N</v>
      </c>
      <c r="B1977" s="2" t="str">
        <f>"Deckenclip M6 für Rasterdecken, verkehrsweiß"</f>
        <v>Deckenclip M6 für Rasterdecken, verkehrsweiß</v>
      </c>
      <c r="C1977" s="16">
        <v>2.25</v>
      </c>
      <c r="D1977" s="11">
        <v>53</v>
      </c>
      <c r="E1977" s="7">
        <f t="shared" si="92"/>
        <v>1</v>
      </c>
      <c r="F1977" s="22" t="str">
        <f>IF(ISERROR(VLOOKUP($A1977,#REF!,3,0)),"x",VLOOKUP($A1977,#REF!,3,FALSE))</f>
        <v>x</v>
      </c>
      <c r="G1977" s="9">
        <f t="shared" si="93"/>
        <v>1</v>
      </c>
      <c r="H1977" s="13">
        <f t="shared" si="94"/>
        <v>2.25</v>
      </c>
    </row>
    <row r="1978" spans="1:8" x14ac:dyDescent="0.25">
      <c r="A1978" s="2" t="str">
        <f>"SCH-008"</f>
        <v>SCH-008</v>
      </c>
      <c r="B1978" s="2" t="str">
        <f>"Kappe M6i mit Rändelung, Bohrung 2,2mm"</f>
        <v>Kappe M6i mit Rändelung, Bohrung 2,2mm</v>
      </c>
      <c r="C1978" s="16">
        <v>1.75</v>
      </c>
      <c r="D1978" s="11">
        <v>53</v>
      </c>
      <c r="E1978" s="7">
        <f t="shared" si="92"/>
        <v>1</v>
      </c>
      <c r="F1978" s="22" t="str">
        <f>IF(ISERROR(VLOOKUP($A1978,#REF!,3,0)),"x",VLOOKUP($A1978,#REF!,3,FALSE))</f>
        <v>x</v>
      </c>
      <c r="G1978" s="9">
        <f t="shared" si="93"/>
        <v>1</v>
      </c>
      <c r="H1978" s="13">
        <f t="shared" si="94"/>
        <v>1.75</v>
      </c>
    </row>
    <row r="1979" spans="1:8" x14ac:dyDescent="0.25">
      <c r="A1979" s="2" t="str">
        <f>"SCH-012171N"</f>
        <v>SCH-012171N</v>
      </c>
      <c r="B1979" s="2" t="str">
        <f>"Endkappe für 3~ Aufbauschiene, verkehrsweiß  "</f>
        <v xml:space="preserve">Endkappe für 3~ Aufbauschiene, verkehrsweiß  </v>
      </c>
      <c r="C1979" s="16">
        <v>2.5</v>
      </c>
      <c r="D1979" s="11">
        <v>51</v>
      </c>
      <c r="E1979" s="7">
        <f t="shared" si="92"/>
        <v>1</v>
      </c>
      <c r="F1979" s="22" t="str">
        <f>IF(ISERROR(VLOOKUP($A1979,#REF!,3,0)),"x",VLOOKUP($A1979,#REF!,3,FALSE))</f>
        <v>x</v>
      </c>
      <c r="G1979" s="9">
        <f t="shared" si="93"/>
        <v>1</v>
      </c>
      <c r="H1979" s="13">
        <f t="shared" si="94"/>
        <v>2.5</v>
      </c>
    </row>
    <row r="1980" spans="1:8" x14ac:dyDescent="0.25">
      <c r="A1980" s="2" t="str">
        <f>"SCH-012172"</f>
        <v>SCH-012172</v>
      </c>
      <c r="B1980" s="2" t="str">
        <f>"Endkappe für 3~ Aufbauschiene, schwarz"</f>
        <v>Endkappe für 3~ Aufbauschiene, schwarz</v>
      </c>
      <c r="C1980" s="16">
        <v>2.5</v>
      </c>
      <c r="D1980" s="11">
        <v>51</v>
      </c>
      <c r="E1980" s="7">
        <f t="shared" si="92"/>
        <v>1</v>
      </c>
      <c r="F1980" s="22" t="str">
        <f>IF(ISERROR(VLOOKUP($A1980,#REF!,3,0)),"x",VLOOKUP($A1980,#REF!,3,FALSE))</f>
        <v>x</v>
      </c>
      <c r="G1980" s="9">
        <f t="shared" si="93"/>
        <v>1</v>
      </c>
      <c r="H1980" s="13">
        <f t="shared" si="94"/>
        <v>2.5</v>
      </c>
    </row>
    <row r="1981" spans="1:8" x14ac:dyDescent="0.25">
      <c r="A1981" s="2" t="str">
        <f>"SCH-012177"</f>
        <v>SCH-012177</v>
      </c>
      <c r="B1981" s="2" t="str">
        <f>"Endkappe für 3~ Aufbauschiene, silber"</f>
        <v>Endkappe für 3~ Aufbauschiene, silber</v>
      </c>
      <c r="C1981" s="16">
        <v>5</v>
      </c>
      <c r="D1981" s="11">
        <v>51</v>
      </c>
      <c r="E1981" s="7">
        <f t="shared" si="92"/>
        <v>1</v>
      </c>
      <c r="F1981" s="22" t="str">
        <f>IF(ISERROR(VLOOKUP($A1981,#REF!,3,0)),"x",VLOOKUP($A1981,#REF!,3,FALSE))</f>
        <v>x</v>
      </c>
      <c r="G1981" s="9">
        <f t="shared" si="93"/>
        <v>1</v>
      </c>
      <c r="H1981" s="13">
        <f t="shared" si="94"/>
        <v>5</v>
      </c>
    </row>
    <row r="1982" spans="1:8" x14ac:dyDescent="0.25">
      <c r="A1982" s="2" t="str">
        <f>"SCH-032171N"</f>
        <v>SCH-032171N</v>
      </c>
      <c r="B1982" s="2" t="str">
        <f>"Endkappe mit Deckenauflage für  3~ Einbauschiene, verkehrsweiß"</f>
        <v>Endkappe mit Deckenauflage für  3~ Einbauschiene, verkehrsweiß</v>
      </c>
      <c r="C1982" s="16">
        <v>5</v>
      </c>
      <c r="D1982" s="11">
        <v>63</v>
      </c>
      <c r="E1982" s="7">
        <f t="shared" si="92"/>
        <v>1</v>
      </c>
      <c r="F1982" s="22" t="str">
        <f>IF(ISERROR(VLOOKUP($A1982,#REF!,3,0)),"x",VLOOKUP($A1982,#REF!,3,FALSE))</f>
        <v>x</v>
      </c>
      <c r="G1982" s="9">
        <f t="shared" si="93"/>
        <v>1</v>
      </c>
      <c r="H1982" s="13">
        <f t="shared" si="94"/>
        <v>5</v>
      </c>
    </row>
    <row r="1983" spans="1:8" x14ac:dyDescent="0.25">
      <c r="A1983" s="2" t="str">
        <f>"SCH-032172"</f>
        <v>SCH-032172</v>
      </c>
      <c r="B1983" s="2" t="str">
        <f>"Endkappe mit Deckenauflage für  3~ Einbauschiene, schwarz"</f>
        <v>Endkappe mit Deckenauflage für  3~ Einbauschiene, schwarz</v>
      </c>
      <c r="C1983" s="16">
        <v>5</v>
      </c>
      <c r="D1983" s="11">
        <v>63</v>
      </c>
      <c r="E1983" s="7">
        <f t="shared" si="92"/>
        <v>1</v>
      </c>
      <c r="F1983" s="22" t="str">
        <f>IF(ISERROR(VLOOKUP($A1983,#REF!,3,0)),"x",VLOOKUP($A1983,#REF!,3,FALSE))</f>
        <v>x</v>
      </c>
      <c r="G1983" s="9">
        <f t="shared" si="93"/>
        <v>1</v>
      </c>
      <c r="H1983" s="13">
        <f t="shared" si="94"/>
        <v>5</v>
      </c>
    </row>
    <row r="1984" spans="1:8" x14ac:dyDescent="0.25">
      <c r="A1984" s="2" t="str">
        <f>"SCH-053210"</f>
        <v>SCH-053210</v>
      </c>
      <c r="B1984" s="2" t="str">
        <f>"Federclip, für Schnellspannfeder (6 Stück)"</f>
        <v>Federclip, für Schnellspannfeder (6 Stück)</v>
      </c>
      <c r="C1984" s="16">
        <v>10</v>
      </c>
      <c r="D1984" s="11">
        <v>63</v>
      </c>
      <c r="E1984" s="7">
        <f t="shared" si="92"/>
        <v>1</v>
      </c>
      <c r="F1984" s="22" t="str">
        <f>IF(ISERROR(VLOOKUP($A1984,#REF!,3,0)),"x",VLOOKUP($A1984,#REF!,3,FALSE))</f>
        <v>x</v>
      </c>
      <c r="G1984" s="9">
        <f t="shared" si="93"/>
        <v>1</v>
      </c>
      <c r="H1984" s="13">
        <f t="shared" si="94"/>
        <v>10</v>
      </c>
    </row>
    <row r="1985" spans="1:8" x14ac:dyDescent="0.25">
      <c r="A1985" s="2" t="str">
        <f>"SCH-0671N"</f>
        <v>SCH-0671N</v>
      </c>
      <c r="B1985" s="2" t="str">
        <f>"Universal-Haken, passend für 3-Phasen-Schienen, verkehrsweß"</f>
        <v>Universal-Haken, passend für 3-Phasen-Schienen, verkehrsweß</v>
      </c>
      <c r="C1985" s="16">
        <v>5</v>
      </c>
      <c r="D1985" s="11">
        <v>55</v>
      </c>
      <c r="E1985" s="7">
        <f t="shared" si="92"/>
        <v>1</v>
      </c>
      <c r="F1985" s="22" t="str">
        <f>IF(ISERROR(VLOOKUP($A1985,#REF!,3,0)),"x",VLOOKUP($A1985,#REF!,3,FALSE))</f>
        <v>x</v>
      </c>
      <c r="G1985" s="9">
        <f t="shared" si="93"/>
        <v>1</v>
      </c>
      <c r="H1985" s="13">
        <f t="shared" si="94"/>
        <v>5</v>
      </c>
    </row>
    <row r="1986" spans="1:8" x14ac:dyDescent="0.25">
      <c r="A1986" s="2" t="str">
        <f>"SCH-0672"</f>
        <v>SCH-0672</v>
      </c>
      <c r="B1986" s="2" t="str">
        <f>"Universal-Haken, passend für 3-Phasen-Schienen, schwarz"</f>
        <v>Universal-Haken, passend für 3-Phasen-Schienen, schwarz</v>
      </c>
      <c r="C1986" s="16">
        <v>5</v>
      </c>
      <c r="D1986" s="11">
        <v>55</v>
      </c>
      <c r="E1986" s="7">
        <f t="shared" si="92"/>
        <v>1</v>
      </c>
      <c r="F1986" s="22" t="str">
        <f>IF(ISERROR(VLOOKUP($A1986,#REF!,3,0)),"x",VLOOKUP($A1986,#REF!,3,FALSE))</f>
        <v>x</v>
      </c>
      <c r="G1986" s="9">
        <f t="shared" si="93"/>
        <v>1</v>
      </c>
      <c r="H1986" s="13">
        <f t="shared" si="94"/>
        <v>5</v>
      </c>
    </row>
    <row r="1987" spans="1:8" x14ac:dyDescent="0.25">
      <c r="A1987" s="2" t="str">
        <f>"SCH-0751N"</f>
        <v>SCH-0751N</v>
      </c>
      <c r="B1987" s="2" t="str">
        <f>"Pendelclip 50mm, für Abhängung durch Seil-od. Pendelaufhängung"</f>
        <v>Pendelclip 50mm, für Abhängung durch Seil-od. Pendelaufhängung</v>
      </c>
      <c r="C1987" s="16">
        <v>7.5</v>
      </c>
      <c r="D1987" s="11">
        <v>54</v>
      </c>
      <c r="E1987" s="7">
        <f t="shared" si="92"/>
        <v>1</v>
      </c>
      <c r="F1987" s="22" t="str">
        <f>IF(ISERROR(VLOOKUP($A1987,#REF!,3,0)),"x",VLOOKUP($A1987,#REF!,3,FALSE))</f>
        <v>x</v>
      </c>
      <c r="G1987" s="9">
        <f t="shared" ref="G1987:G2050" si="95">IF(C1987&lt;F1987,1,IF(C1987&gt;F1987,-1,0))</f>
        <v>1</v>
      </c>
      <c r="H1987" s="13">
        <f t="shared" si="94"/>
        <v>7.5</v>
      </c>
    </row>
    <row r="1988" spans="1:8" x14ac:dyDescent="0.25">
      <c r="A1988" s="2" t="str">
        <f>"SCH-0752"</f>
        <v>SCH-0752</v>
      </c>
      <c r="B1988" s="2" t="str">
        <f>"Pendelclip, 50mm, für Abhängung durch Seil-od. Pendelaufhängung"</f>
        <v>Pendelclip, 50mm, für Abhängung durch Seil-od. Pendelaufhängung</v>
      </c>
      <c r="C1988" s="16">
        <v>7.5</v>
      </c>
      <c r="D1988" s="11">
        <v>54</v>
      </c>
      <c r="E1988" s="7">
        <f t="shared" si="92"/>
        <v>1</v>
      </c>
      <c r="F1988" s="22" t="str">
        <f>IF(ISERROR(VLOOKUP($A1988,#REF!,3,0)),"x",VLOOKUP($A1988,#REF!,3,FALSE))</f>
        <v>x</v>
      </c>
      <c r="G1988" s="9">
        <f t="shared" si="95"/>
        <v>1</v>
      </c>
      <c r="H1988" s="13">
        <f t="shared" si="94"/>
        <v>7.5</v>
      </c>
    </row>
    <row r="1989" spans="1:8" x14ac:dyDescent="0.25">
      <c r="A1989" s="2" t="str">
        <f>"SCH-0757"</f>
        <v>SCH-0757</v>
      </c>
      <c r="B1989" s="2" t="str">
        <f>"Pendelclip 50mm für Abhängung durch Seil-od. Pendelaufhängung"</f>
        <v>Pendelclip 50mm für Abhängung durch Seil-od. Pendelaufhängung</v>
      </c>
      <c r="C1989" s="16">
        <v>10</v>
      </c>
      <c r="D1989" s="11">
        <v>54</v>
      </c>
      <c r="E1989" s="7">
        <f t="shared" si="92"/>
        <v>1</v>
      </c>
      <c r="F1989" s="22" t="str">
        <f>IF(ISERROR(VLOOKUP($A1989,#REF!,3,0)),"x",VLOOKUP($A1989,#REF!,3,FALSE))</f>
        <v>x</v>
      </c>
      <c r="G1989" s="9">
        <f t="shared" si="95"/>
        <v>1</v>
      </c>
      <c r="H1989" s="13">
        <f t="shared" ref="H1989:H2052" si="96">IF(F1989="x",C1989,F1989)</f>
        <v>10</v>
      </c>
    </row>
    <row r="1990" spans="1:8" x14ac:dyDescent="0.25">
      <c r="A1990" s="2" t="str">
        <f>"SCH-0831N"</f>
        <v>SCH-0831N</v>
      </c>
      <c r="B1990" s="2" t="str">
        <f>"Montagenippel für Schnurpendel, verkehrsweiß "</f>
        <v xml:space="preserve">Montagenippel für Schnurpendel, verkehrsweiß </v>
      </c>
      <c r="C1990" s="16">
        <v>5</v>
      </c>
      <c r="D1990" s="11">
        <v>55</v>
      </c>
      <c r="E1990" s="7">
        <f t="shared" si="92"/>
        <v>1</v>
      </c>
      <c r="F1990" s="22" t="str">
        <f>IF(ISERROR(VLOOKUP($A1990,#REF!,3,0)),"x",VLOOKUP($A1990,#REF!,3,FALSE))</f>
        <v>x</v>
      </c>
      <c r="G1990" s="9">
        <f t="shared" si="95"/>
        <v>1</v>
      </c>
      <c r="H1990" s="13">
        <f t="shared" si="96"/>
        <v>5</v>
      </c>
    </row>
    <row r="1991" spans="1:8" x14ac:dyDescent="0.25">
      <c r="A1991" s="2" t="str">
        <f>"SCH-0832"</f>
        <v>SCH-0832</v>
      </c>
      <c r="B1991" s="2" t="str">
        <f>"Montagenippel für Schnurpendel, schwarz "</f>
        <v xml:space="preserve">Montagenippel für Schnurpendel, schwarz </v>
      </c>
      <c r="C1991" s="16">
        <v>5</v>
      </c>
      <c r="D1991" s="11">
        <v>55</v>
      </c>
      <c r="E1991" s="7">
        <f t="shared" si="92"/>
        <v>1</v>
      </c>
      <c r="F1991" s="22" t="str">
        <f>IF(ISERROR(VLOOKUP($A1991,#REF!,3,0)),"x",VLOOKUP($A1991,#REF!,3,FALSE))</f>
        <v>x</v>
      </c>
      <c r="G1991" s="9">
        <f t="shared" si="95"/>
        <v>1</v>
      </c>
      <c r="H1991" s="13">
        <f t="shared" si="96"/>
        <v>5</v>
      </c>
    </row>
    <row r="1992" spans="1:8" x14ac:dyDescent="0.25">
      <c r="A1992" s="2" t="str">
        <f>"SCH-0837"</f>
        <v>SCH-0837</v>
      </c>
      <c r="B1992" s="2" t="str">
        <f>"Montagenippel für Schnurpendel, silber"</f>
        <v>Montagenippel für Schnurpendel, silber</v>
      </c>
      <c r="C1992" s="16">
        <v>5</v>
      </c>
      <c r="D1992" s="11">
        <v>55</v>
      </c>
      <c r="E1992" s="7">
        <f t="shared" si="92"/>
        <v>1</v>
      </c>
      <c r="F1992" s="22" t="str">
        <f>IF(ISERROR(VLOOKUP($A1992,#REF!,3,0)),"x",VLOOKUP($A1992,#REF!,3,FALSE))</f>
        <v>x</v>
      </c>
      <c r="G1992" s="9">
        <f t="shared" si="95"/>
        <v>1</v>
      </c>
      <c r="H1992" s="13">
        <f t="shared" si="96"/>
        <v>5</v>
      </c>
    </row>
    <row r="1993" spans="1:8" x14ac:dyDescent="0.25">
      <c r="A1993" s="2" t="str">
        <f>"SCH-0841N"</f>
        <v>SCH-0841N</v>
      </c>
      <c r="B1993" s="2" t="str">
        <f>"Montagenippel für Pendelrohrmontage, 10mm, verkehrsweiß "</f>
        <v xml:space="preserve">Montagenippel für Pendelrohrmontage, 10mm, verkehrsweiß </v>
      </c>
      <c r="C1993" s="16">
        <v>5</v>
      </c>
      <c r="D1993" s="11">
        <v>55</v>
      </c>
      <c r="E1993" s="7">
        <f t="shared" si="92"/>
        <v>1</v>
      </c>
      <c r="F1993" s="22" t="str">
        <f>IF(ISERROR(VLOOKUP($A1993,#REF!,3,0)),"x",VLOOKUP($A1993,#REF!,3,FALSE))</f>
        <v>x</v>
      </c>
      <c r="G1993" s="9">
        <f t="shared" si="95"/>
        <v>1</v>
      </c>
      <c r="H1993" s="13">
        <f t="shared" si="96"/>
        <v>5</v>
      </c>
    </row>
    <row r="1994" spans="1:8" x14ac:dyDescent="0.25">
      <c r="A1994" s="2" t="str">
        <f>"SCH-0842"</f>
        <v>SCH-0842</v>
      </c>
      <c r="B1994" s="2" t="str">
        <f>"Montagenippel für Pendelrohrmontage, 10mm, schwarz "</f>
        <v xml:space="preserve">Montagenippel für Pendelrohrmontage, 10mm, schwarz </v>
      </c>
      <c r="C1994" s="16">
        <v>5</v>
      </c>
      <c r="D1994" s="11">
        <v>55</v>
      </c>
      <c r="E1994" s="7">
        <f t="shared" si="92"/>
        <v>1</v>
      </c>
      <c r="F1994" s="22" t="str">
        <f>IF(ISERROR(VLOOKUP($A1994,#REF!,3,0)),"x",VLOOKUP($A1994,#REF!,3,FALSE))</f>
        <v>x</v>
      </c>
      <c r="G1994" s="9">
        <f t="shared" si="95"/>
        <v>1</v>
      </c>
      <c r="H1994" s="13">
        <f t="shared" si="96"/>
        <v>5</v>
      </c>
    </row>
    <row r="1995" spans="1:8" x14ac:dyDescent="0.25">
      <c r="A1995" s="2" t="str">
        <f>"SCH-0847"</f>
        <v>SCH-0847</v>
      </c>
      <c r="B1995" s="2" t="str">
        <f>"Montagenippel für Pendelrohrmontage, 10mm, silber"</f>
        <v>Montagenippel für Pendelrohrmontage, 10mm, silber</v>
      </c>
      <c r="C1995" s="16">
        <v>5</v>
      </c>
      <c r="D1995" s="11">
        <v>55</v>
      </c>
      <c r="E1995" s="7">
        <f t="shared" si="92"/>
        <v>1</v>
      </c>
      <c r="F1995" s="22" t="str">
        <f>IF(ISERROR(VLOOKUP($A1995,#REF!,3,0)),"x",VLOOKUP($A1995,#REF!,3,FALSE))</f>
        <v>x</v>
      </c>
      <c r="G1995" s="9">
        <f t="shared" si="95"/>
        <v>1</v>
      </c>
      <c r="H1995" s="13">
        <f t="shared" si="96"/>
        <v>5</v>
      </c>
    </row>
    <row r="1996" spans="1:8" x14ac:dyDescent="0.25">
      <c r="A1996" s="2" t="str">
        <f>"SCH-0951N"</f>
        <v>SCH-0951N</v>
      </c>
      <c r="B1996" s="2" t="str">
        <f>"Steckdosen-Multiadapter, mit Sicherung 6,3A träge, verkehrsweiß"</f>
        <v>Steckdosen-Multiadapter, mit Sicherung 6,3A träge, verkehrsweiß</v>
      </c>
      <c r="C1996" s="16">
        <v>55</v>
      </c>
      <c r="D1996" s="11">
        <v>53</v>
      </c>
      <c r="E1996" s="7">
        <f t="shared" si="92"/>
        <v>1</v>
      </c>
      <c r="F1996" s="22" t="str">
        <f>IF(ISERROR(VLOOKUP($A1996,#REF!,3,0)),"x",VLOOKUP($A1996,#REF!,3,FALSE))</f>
        <v>x</v>
      </c>
      <c r="G1996" s="9">
        <f t="shared" si="95"/>
        <v>1</v>
      </c>
      <c r="H1996" s="13">
        <f t="shared" si="96"/>
        <v>55</v>
      </c>
    </row>
    <row r="1997" spans="1:8" x14ac:dyDescent="0.25">
      <c r="A1997" s="2" t="str">
        <f>"SCH-0952"</f>
        <v>SCH-0952</v>
      </c>
      <c r="B1997" s="2" t="str">
        <f>"Steckdosen-Multiadapter, mit Sicherung 6,3A träge, schwarz"</f>
        <v>Steckdosen-Multiadapter, mit Sicherung 6,3A träge, schwarz</v>
      </c>
      <c r="C1997" s="16">
        <v>55</v>
      </c>
      <c r="D1997" s="11">
        <v>53</v>
      </c>
      <c r="E1997" s="7">
        <f t="shared" si="92"/>
        <v>1</v>
      </c>
      <c r="F1997" s="22" t="str">
        <f>IF(ISERROR(VLOOKUP($A1997,#REF!,3,0)),"x",VLOOKUP($A1997,#REF!,3,FALSE))</f>
        <v>x</v>
      </c>
      <c r="G1997" s="9">
        <f t="shared" si="95"/>
        <v>1</v>
      </c>
      <c r="H1997" s="13">
        <f t="shared" si="96"/>
        <v>55</v>
      </c>
    </row>
    <row r="1998" spans="1:8" x14ac:dyDescent="0.25">
      <c r="A1998" s="2" t="str">
        <f>"SCH-101N"</f>
        <v>SCH-101N</v>
      </c>
      <c r="B1998" s="2" t="str">
        <f>"3-Phasen-Aufbau-Schiene, 1m, verkehrsweiß"</f>
        <v>3-Phasen-Aufbau-Schiene, 1m, verkehrsweiß</v>
      </c>
      <c r="C1998" s="16">
        <v>35</v>
      </c>
      <c r="D1998" s="11">
        <v>51</v>
      </c>
      <c r="E1998" s="7">
        <f t="shared" si="92"/>
        <v>1</v>
      </c>
      <c r="F1998" s="22" t="str">
        <f>IF(ISERROR(VLOOKUP($A1998,#REF!,3,0)),"x",VLOOKUP($A1998,#REF!,3,FALSE))</f>
        <v>x</v>
      </c>
      <c r="G1998" s="9">
        <f t="shared" si="95"/>
        <v>1</v>
      </c>
      <c r="H1998" s="13">
        <f t="shared" si="96"/>
        <v>35</v>
      </c>
    </row>
    <row r="1999" spans="1:8" x14ac:dyDescent="0.25">
      <c r="A1999" s="2" t="str">
        <f>"SCH-102"</f>
        <v>SCH-102</v>
      </c>
      <c r="B1999" s="2" t="str">
        <f>"3-Phasen-Aufbau-Schiene, 1m, schwarz"</f>
        <v>3-Phasen-Aufbau-Schiene, 1m, schwarz</v>
      </c>
      <c r="C1999" s="16">
        <v>35</v>
      </c>
      <c r="D1999" s="11">
        <v>51</v>
      </c>
      <c r="E1999" s="7">
        <f t="shared" si="92"/>
        <v>1</v>
      </c>
      <c r="F1999" s="22" t="str">
        <f>IF(ISERROR(VLOOKUP($A1999,#REF!,3,0)),"x",VLOOKUP($A1999,#REF!,3,FALSE))</f>
        <v>x</v>
      </c>
      <c r="G1999" s="9">
        <f t="shared" si="95"/>
        <v>1</v>
      </c>
      <c r="H1999" s="13">
        <f t="shared" si="96"/>
        <v>35</v>
      </c>
    </row>
    <row r="2000" spans="1:8" x14ac:dyDescent="0.25">
      <c r="A2000" s="2" t="str">
        <f>"SCH-107"</f>
        <v>SCH-107</v>
      </c>
      <c r="B2000" s="2" t="str">
        <f>"3-Phasen-Aufbau-Schiene, 1m, alu-silber-eloxiert"</f>
        <v>3-Phasen-Aufbau-Schiene, 1m, alu-silber-eloxiert</v>
      </c>
      <c r="C2000" s="16">
        <v>35</v>
      </c>
      <c r="D2000" s="11">
        <v>51</v>
      </c>
      <c r="E2000" s="7">
        <f t="shared" si="92"/>
        <v>1</v>
      </c>
      <c r="F2000" s="22" t="str">
        <f>IF(ISERROR(VLOOKUP($A2000,#REF!,3,0)),"x",VLOOKUP($A2000,#REF!,3,FALSE))</f>
        <v>x</v>
      </c>
      <c r="G2000" s="9">
        <f t="shared" si="95"/>
        <v>1</v>
      </c>
      <c r="H2000" s="13">
        <f t="shared" si="96"/>
        <v>35</v>
      </c>
    </row>
    <row r="2001" spans="1:8" x14ac:dyDescent="0.25">
      <c r="A2001" s="2" t="str">
        <f>"SCH-112011N"</f>
        <v>SCH-112011N</v>
      </c>
      <c r="B2001" s="2" t="str">
        <f>"Einspeiser, Schutzleiter rechts, verkehrsweiß "</f>
        <v xml:space="preserve">Einspeiser, Schutzleiter rechts, verkehrsweiß </v>
      </c>
      <c r="C2001" s="16">
        <v>15</v>
      </c>
      <c r="D2001" s="11">
        <v>51</v>
      </c>
      <c r="E2001" s="7">
        <f t="shared" si="92"/>
        <v>1</v>
      </c>
      <c r="F2001" s="22" t="str">
        <f>IF(ISERROR(VLOOKUP($A2001,#REF!,3,0)),"x",VLOOKUP($A2001,#REF!,3,FALSE))</f>
        <v>x</v>
      </c>
      <c r="G2001" s="9">
        <f t="shared" si="95"/>
        <v>1</v>
      </c>
      <c r="H2001" s="13">
        <f t="shared" si="96"/>
        <v>15</v>
      </c>
    </row>
    <row r="2002" spans="1:8" x14ac:dyDescent="0.25">
      <c r="A2002" s="2" t="str">
        <f>"SCH-112012"</f>
        <v>SCH-112012</v>
      </c>
      <c r="B2002" s="2" t="str">
        <f>"Einspeiser, Schutzleiter rechts, schwarz "</f>
        <v xml:space="preserve">Einspeiser, Schutzleiter rechts, schwarz </v>
      </c>
      <c r="C2002" s="16">
        <v>15</v>
      </c>
      <c r="D2002" s="11">
        <v>51</v>
      </c>
      <c r="E2002" s="7">
        <f t="shared" si="92"/>
        <v>1</v>
      </c>
      <c r="F2002" s="22" t="str">
        <f>IF(ISERROR(VLOOKUP($A2002,#REF!,3,0)),"x",VLOOKUP($A2002,#REF!,3,FALSE))</f>
        <v>x</v>
      </c>
      <c r="G2002" s="9">
        <f t="shared" si="95"/>
        <v>1</v>
      </c>
      <c r="H2002" s="13">
        <f t="shared" si="96"/>
        <v>15</v>
      </c>
    </row>
    <row r="2003" spans="1:8" x14ac:dyDescent="0.25">
      <c r="A2003" s="2" t="str">
        <f>"SCH-112017"</f>
        <v>SCH-112017</v>
      </c>
      <c r="B2003" s="2" t="str">
        <f>"Einspeiser, Schutzleiter rechts, silber "</f>
        <v xml:space="preserve">Einspeiser, Schutzleiter rechts, silber </v>
      </c>
      <c r="C2003" s="16">
        <v>22.5</v>
      </c>
      <c r="D2003" s="11">
        <v>51</v>
      </c>
      <c r="E2003" s="7">
        <f t="shared" si="92"/>
        <v>1</v>
      </c>
      <c r="F2003" s="22" t="str">
        <f>IF(ISERROR(VLOOKUP($A2003,#REF!,3,0)),"x",VLOOKUP($A2003,#REF!,3,FALSE))</f>
        <v>x</v>
      </c>
      <c r="G2003" s="9">
        <f t="shared" si="95"/>
        <v>1</v>
      </c>
      <c r="H2003" s="13">
        <f t="shared" si="96"/>
        <v>22.5</v>
      </c>
    </row>
    <row r="2004" spans="1:8" x14ac:dyDescent="0.25">
      <c r="A2004" s="2" t="str">
        <f>"SCH-112021N"</f>
        <v>SCH-112021N</v>
      </c>
      <c r="B2004" s="2" t="str">
        <f>"Einspeiser, Schutzleiter links, verkehrsweiß "</f>
        <v xml:space="preserve">Einspeiser, Schutzleiter links, verkehrsweiß </v>
      </c>
      <c r="C2004" s="16">
        <v>15</v>
      </c>
      <c r="D2004" s="11">
        <v>51</v>
      </c>
      <c r="E2004" s="7">
        <f t="shared" si="92"/>
        <v>1</v>
      </c>
      <c r="F2004" s="22" t="str">
        <f>IF(ISERROR(VLOOKUP($A2004,#REF!,3,0)),"x",VLOOKUP($A2004,#REF!,3,FALSE))</f>
        <v>x</v>
      </c>
      <c r="G2004" s="9">
        <f t="shared" si="95"/>
        <v>1</v>
      </c>
      <c r="H2004" s="13">
        <f t="shared" si="96"/>
        <v>15</v>
      </c>
    </row>
    <row r="2005" spans="1:8" x14ac:dyDescent="0.25">
      <c r="A2005" s="2" t="str">
        <f>"SCH-112022"</f>
        <v>SCH-112022</v>
      </c>
      <c r="B2005" s="2" t="str">
        <f>"Einspeiser, Schutzleiter links, schwarz "</f>
        <v xml:space="preserve">Einspeiser, Schutzleiter links, schwarz </v>
      </c>
      <c r="C2005" s="16">
        <v>15</v>
      </c>
      <c r="D2005" s="11">
        <v>51</v>
      </c>
      <c r="E2005" s="7">
        <f t="shared" si="92"/>
        <v>1</v>
      </c>
      <c r="F2005" s="22" t="str">
        <f>IF(ISERROR(VLOOKUP($A2005,#REF!,3,0)),"x",VLOOKUP($A2005,#REF!,3,FALSE))</f>
        <v>x</v>
      </c>
      <c r="G2005" s="9">
        <f t="shared" si="95"/>
        <v>1</v>
      </c>
      <c r="H2005" s="13">
        <f t="shared" si="96"/>
        <v>15</v>
      </c>
    </row>
    <row r="2006" spans="1:8" x14ac:dyDescent="0.25">
      <c r="A2006" s="2" t="str">
        <f>"SCH-112027"</f>
        <v>SCH-112027</v>
      </c>
      <c r="B2006" s="2" t="str">
        <f>"Einspeiser, Schutzleiter links, silber "</f>
        <v xml:space="preserve">Einspeiser, Schutzleiter links, silber </v>
      </c>
      <c r="C2006" s="16">
        <v>22.5</v>
      </c>
      <c r="D2006" s="11">
        <v>51</v>
      </c>
      <c r="E2006" s="7">
        <f t="shared" si="92"/>
        <v>1</v>
      </c>
      <c r="F2006" s="22" t="str">
        <f>IF(ISERROR(VLOOKUP($A2006,#REF!,3,0)),"x",VLOOKUP($A2006,#REF!,3,FALSE))</f>
        <v>x</v>
      </c>
      <c r="G2006" s="9">
        <f t="shared" si="95"/>
        <v>1</v>
      </c>
      <c r="H2006" s="13">
        <f t="shared" si="96"/>
        <v>22.5</v>
      </c>
    </row>
    <row r="2007" spans="1:8" x14ac:dyDescent="0.25">
      <c r="A2007" s="2" t="str">
        <f>"SCH-112061N"</f>
        <v>SCH-112061N</v>
      </c>
      <c r="B2007" s="2" t="str">
        <f>"Elektrischer Längsverbinder, verkehrsweiß "</f>
        <v xml:space="preserve">Elektrischer Längsverbinder, verkehrsweiß </v>
      </c>
      <c r="C2007" s="16">
        <v>10</v>
      </c>
      <c r="D2007" s="11">
        <v>51</v>
      </c>
      <c r="E2007" s="7">
        <f t="shared" si="92"/>
        <v>1</v>
      </c>
      <c r="F2007" s="22" t="str">
        <f>IF(ISERROR(VLOOKUP($A2007,#REF!,3,0)),"x",VLOOKUP($A2007,#REF!,3,FALSE))</f>
        <v>x</v>
      </c>
      <c r="G2007" s="9">
        <f t="shared" si="95"/>
        <v>1</v>
      </c>
      <c r="H2007" s="13">
        <f t="shared" si="96"/>
        <v>10</v>
      </c>
    </row>
    <row r="2008" spans="1:8" x14ac:dyDescent="0.25">
      <c r="A2008" s="2" t="str">
        <f>"SCH-112062"</f>
        <v>SCH-112062</v>
      </c>
      <c r="B2008" s="2" t="str">
        <f>"Elektrischer Längsverbinder, schwarz"</f>
        <v>Elektrischer Längsverbinder, schwarz</v>
      </c>
      <c r="C2008" s="16">
        <v>10</v>
      </c>
      <c r="D2008" s="11">
        <v>51</v>
      </c>
      <c r="E2008" s="7">
        <f t="shared" si="92"/>
        <v>1</v>
      </c>
      <c r="F2008" s="22" t="str">
        <f>IF(ISERROR(VLOOKUP($A2008,#REF!,3,0)),"x",VLOOKUP($A2008,#REF!,3,FALSE))</f>
        <v>x</v>
      </c>
      <c r="G2008" s="9">
        <f t="shared" si="95"/>
        <v>1</v>
      </c>
      <c r="H2008" s="13">
        <f t="shared" si="96"/>
        <v>10</v>
      </c>
    </row>
    <row r="2009" spans="1:8" x14ac:dyDescent="0.25">
      <c r="A2009" s="2" t="str">
        <f>"SCH-112067"</f>
        <v>SCH-112067</v>
      </c>
      <c r="B2009" s="2" t="str">
        <f>"Elektrischer Längsverbinder, silber"</f>
        <v>Elektrischer Längsverbinder, silber</v>
      </c>
      <c r="C2009" s="16">
        <v>15</v>
      </c>
      <c r="D2009" s="11">
        <v>51</v>
      </c>
      <c r="E2009" s="7">
        <f t="shared" si="92"/>
        <v>1</v>
      </c>
      <c r="F2009" s="22" t="str">
        <f>IF(ISERROR(VLOOKUP($A2009,#REF!,3,0)),"x",VLOOKUP($A2009,#REF!,3,FALSE))</f>
        <v>x</v>
      </c>
      <c r="G2009" s="9">
        <f t="shared" si="95"/>
        <v>1</v>
      </c>
      <c r="H2009" s="13">
        <f t="shared" si="96"/>
        <v>15</v>
      </c>
    </row>
    <row r="2010" spans="1:8" x14ac:dyDescent="0.25">
      <c r="A2010" s="2" t="str">
        <f>"SCH-112081N"</f>
        <v>SCH-112081N</v>
      </c>
      <c r="B2010" s="2" t="str">
        <f>"Längsverbinder mit Einspeisemöglichkeit, verkehrsweiß "</f>
        <v xml:space="preserve">Längsverbinder mit Einspeisemöglichkeit, verkehrsweiß </v>
      </c>
      <c r="C2010" s="16">
        <v>32.5</v>
      </c>
      <c r="D2010" s="11">
        <v>51</v>
      </c>
      <c r="E2010" s="7">
        <f t="shared" si="92"/>
        <v>1</v>
      </c>
      <c r="F2010" s="22" t="str">
        <f>IF(ISERROR(VLOOKUP($A2010,#REF!,3,0)),"x",VLOOKUP($A2010,#REF!,3,FALSE))</f>
        <v>x</v>
      </c>
      <c r="G2010" s="9">
        <f t="shared" si="95"/>
        <v>1</v>
      </c>
      <c r="H2010" s="13">
        <f t="shared" si="96"/>
        <v>32.5</v>
      </c>
    </row>
    <row r="2011" spans="1:8" x14ac:dyDescent="0.25">
      <c r="A2011" s="2" t="str">
        <f>"SCH-112082"</f>
        <v>SCH-112082</v>
      </c>
      <c r="B2011" s="2" t="str">
        <f>"Längsverbinder mit Einspeisemöglichkeit, schwarz "</f>
        <v xml:space="preserve">Längsverbinder mit Einspeisemöglichkeit, schwarz </v>
      </c>
      <c r="C2011" s="16">
        <v>32.5</v>
      </c>
      <c r="D2011" s="11">
        <v>51</v>
      </c>
      <c r="E2011" s="7">
        <f t="shared" si="92"/>
        <v>1</v>
      </c>
      <c r="F2011" s="22" t="str">
        <f>IF(ISERROR(VLOOKUP($A2011,#REF!,3,0)),"x",VLOOKUP($A2011,#REF!,3,FALSE))</f>
        <v>x</v>
      </c>
      <c r="G2011" s="9">
        <f t="shared" si="95"/>
        <v>1</v>
      </c>
      <c r="H2011" s="13">
        <f t="shared" si="96"/>
        <v>32.5</v>
      </c>
    </row>
    <row r="2012" spans="1:8" x14ac:dyDescent="0.25">
      <c r="A2012" s="2" t="str">
        <f>"SCH-112087"</f>
        <v>SCH-112087</v>
      </c>
      <c r="B2012" s="2" t="str">
        <f>"Längsverbinder mit Einspeisemöglichkeit, silber "</f>
        <v xml:space="preserve">Längsverbinder mit Einspeisemöglichkeit, silber </v>
      </c>
      <c r="C2012" s="16">
        <v>60</v>
      </c>
      <c r="D2012" s="11">
        <v>51</v>
      </c>
      <c r="E2012" s="7">
        <f t="shared" si="92"/>
        <v>1</v>
      </c>
      <c r="F2012" s="22" t="str">
        <f>IF(ISERROR(VLOOKUP($A2012,#REF!,3,0)),"x",VLOOKUP($A2012,#REF!,3,FALSE))</f>
        <v>x</v>
      </c>
      <c r="G2012" s="9">
        <f t="shared" si="95"/>
        <v>1</v>
      </c>
      <c r="H2012" s="13">
        <f t="shared" si="96"/>
        <v>60</v>
      </c>
    </row>
    <row r="2013" spans="1:8" x14ac:dyDescent="0.25">
      <c r="A2013" s="2" t="str">
        <f>"SCH-112091N"</f>
        <v>SCH-112091N</v>
      </c>
      <c r="B2013" s="2" t="str">
        <f>"Eckverbinder mit Einspeisemöglichkeit, Schutzleiter aussen, verkehrsweiß"</f>
        <v>Eckverbinder mit Einspeisemöglichkeit, Schutzleiter aussen, verkehrsweiß</v>
      </c>
      <c r="C2013" s="16">
        <v>32.5</v>
      </c>
      <c r="D2013" s="11">
        <v>51</v>
      </c>
      <c r="E2013" s="7">
        <f t="shared" si="92"/>
        <v>1</v>
      </c>
      <c r="F2013" s="22" t="str">
        <f>IF(ISERROR(VLOOKUP($A2013,#REF!,3,0)),"x",VLOOKUP($A2013,#REF!,3,FALSE))</f>
        <v>x</v>
      </c>
      <c r="G2013" s="9">
        <f t="shared" si="95"/>
        <v>1</v>
      </c>
      <c r="H2013" s="13">
        <f t="shared" si="96"/>
        <v>32.5</v>
      </c>
    </row>
    <row r="2014" spans="1:8" x14ac:dyDescent="0.25">
      <c r="A2014" s="2" t="str">
        <f>"SCH-112092"</f>
        <v>SCH-112092</v>
      </c>
      <c r="B2014" s="2" t="str">
        <f>"Eckverbinder mit Einspeisemöglichkeit, Schutzleiter aussen, schwarz"</f>
        <v>Eckverbinder mit Einspeisemöglichkeit, Schutzleiter aussen, schwarz</v>
      </c>
      <c r="C2014" s="16">
        <v>32.5</v>
      </c>
      <c r="D2014" s="11">
        <v>51</v>
      </c>
      <c r="E2014" s="7">
        <f t="shared" si="92"/>
        <v>1</v>
      </c>
      <c r="F2014" s="22" t="str">
        <f>IF(ISERROR(VLOOKUP($A2014,#REF!,3,0)),"x",VLOOKUP($A2014,#REF!,3,FALSE))</f>
        <v>x</v>
      </c>
      <c r="G2014" s="9">
        <f t="shared" si="95"/>
        <v>1</v>
      </c>
      <c r="H2014" s="13">
        <f t="shared" si="96"/>
        <v>32.5</v>
      </c>
    </row>
    <row r="2015" spans="1:8" x14ac:dyDescent="0.25">
      <c r="A2015" s="2" t="str">
        <f>"SCH-112097"</f>
        <v>SCH-112097</v>
      </c>
      <c r="B2015" s="2" t="str">
        <f>"Eckverbinder mit Einspeisemöglichkeit, Schutzleiter aussen, silber"</f>
        <v>Eckverbinder mit Einspeisemöglichkeit, Schutzleiter aussen, silber</v>
      </c>
      <c r="C2015" s="16">
        <v>60</v>
      </c>
      <c r="D2015" s="11">
        <v>51</v>
      </c>
      <c r="E2015" s="7">
        <f t="shared" si="92"/>
        <v>1</v>
      </c>
      <c r="F2015" s="22" t="str">
        <f>IF(ISERROR(VLOOKUP($A2015,#REF!,3,0)),"x",VLOOKUP($A2015,#REF!,3,FALSE))</f>
        <v>x</v>
      </c>
      <c r="G2015" s="9">
        <f t="shared" si="95"/>
        <v>1</v>
      </c>
      <c r="H2015" s="13">
        <f t="shared" si="96"/>
        <v>60</v>
      </c>
    </row>
    <row r="2016" spans="1:8" x14ac:dyDescent="0.25">
      <c r="A2016" s="2" t="str">
        <f>"SCH-112101N"</f>
        <v>SCH-112101N</v>
      </c>
      <c r="B2016" s="2" t="str">
        <f>"Eckverbinder mit Einspeisemöglichkeit, Schutzleiter innen, verkehrsweiß"</f>
        <v>Eckverbinder mit Einspeisemöglichkeit, Schutzleiter innen, verkehrsweiß</v>
      </c>
      <c r="C2016" s="16">
        <v>32.5</v>
      </c>
      <c r="D2016" s="11">
        <v>51</v>
      </c>
      <c r="E2016" s="7">
        <f t="shared" si="92"/>
        <v>1</v>
      </c>
      <c r="F2016" s="22" t="str">
        <f>IF(ISERROR(VLOOKUP($A2016,#REF!,3,0)),"x",VLOOKUP($A2016,#REF!,3,FALSE))</f>
        <v>x</v>
      </c>
      <c r="G2016" s="9">
        <f t="shared" si="95"/>
        <v>1</v>
      </c>
      <c r="H2016" s="13">
        <f t="shared" si="96"/>
        <v>32.5</v>
      </c>
    </row>
    <row r="2017" spans="1:8" x14ac:dyDescent="0.25">
      <c r="A2017" s="2" t="str">
        <f>"SCH-112102"</f>
        <v>SCH-112102</v>
      </c>
      <c r="B2017" s="2" t="str">
        <f>"Eckverbinder mit Einspeisemöglichkeit, Schutzleiter innen, schwarz"</f>
        <v>Eckverbinder mit Einspeisemöglichkeit, Schutzleiter innen, schwarz</v>
      </c>
      <c r="C2017" s="16">
        <v>32.5</v>
      </c>
      <c r="D2017" s="11">
        <v>51</v>
      </c>
      <c r="E2017" s="7">
        <f t="shared" si="92"/>
        <v>1</v>
      </c>
      <c r="F2017" s="22" t="str">
        <f>IF(ISERROR(VLOOKUP($A2017,#REF!,3,0)),"x",VLOOKUP($A2017,#REF!,3,FALSE))</f>
        <v>x</v>
      </c>
      <c r="G2017" s="9">
        <f t="shared" si="95"/>
        <v>1</v>
      </c>
      <c r="H2017" s="13">
        <f t="shared" si="96"/>
        <v>32.5</v>
      </c>
    </row>
    <row r="2018" spans="1:8" x14ac:dyDescent="0.25">
      <c r="A2018" s="2" t="str">
        <f>"SCH-112107"</f>
        <v>SCH-112107</v>
      </c>
      <c r="B2018" s="2" t="str">
        <f>"Eckverbinder mit Einspeisemöglichkeit, Schutzleiter innen, silber"</f>
        <v>Eckverbinder mit Einspeisemöglichkeit, Schutzleiter innen, silber</v>
      </c>
      <c r="C2018" s="16">
        <v>60</v>
      </c>
      <c r="D2018" s="11">
        <v>51</v>
      </c>
      <c r="E2018" s="7">
        <f t="shared" si="92"/>
        <v>1</v>
      </c>
      <c r="F2018" s="22" t="str">
        <f>IF(ISERROR(VLOOKUP($A2018,#REF!,3,0)),"x",VLOOKUP($A2018,#REF!,3,FALSE))</f>
        <v>x</v>
      </c>
      <c r="G2018" s="9">
        <f t="shared" si="95"/>
        <v>1</v>
      </c>
      <c r="H2018" s="13">
        <f t="shared" si="96"/>
        <v>60</v>
      </c>
    </row>
    <row r="2019" spans="1:8" x14ac:dyDescent="0.25">
      <c r="A2019" s="2" t="str">
        <f>"SCH-112111N"</f>
        <v>SCH-112111N</v>
      </c>
      <c r="B2019" s="2" t="str">
        <f>"Flexible Kupplung, mit Einspeisemöglichkeit, verkehrsweiß "</f>
        <v xml:space="preserve">Flexible Kupplung, mit Einspeisemöglichkeit, verkehrsweiß </v>
      </c>
      <c r="C2019" s="16">
        <v>52.5</v>
      </c>
      <c r="D2019" s="11">
        <v>51</v>
      </c>
      <c r="E2019" s="7">
        <f t="shared" si="92"/>
        <v>1</v>
      </c>
      <c r="F2019" s="22" t="str">
        <f>IF(ISERROR(VLOOKUP($A2019,#REF!,3,0)),"x",VLOOKUP($A2019,#REF!,3,FALSE))</f>
        <v>x</v>
      </c>
      <c r="G2019" s="9">
        <f t="shared" si="95"/>
        <v>1</v>
      </c>
      <c r="H2019" s="13">
        <f t="shared" si="96"/>
        <v>52.5</v>
      </c>
    </row>
    <row r="2020" spans="1:8" x14ac:dyDescent="0.25">
      <c r="A2020" s="2" t="str">
        <f>"SCH-112112"</f>
        <v>SCH-112112</v>
      </c>
      <c r="B2020" s="2" t="str">
        <f>"Flexible Kupplung, mit Einspeisemöglichkeit, schwarz"</f>
        <v>Flexible Kupplung, mit Einspeisemöglichkeit, schwarz</v>
      </c>
      <c r="C2020" s="16">
        <v>52.5</v>
      </c>
      <c r="D2020" s="11">
        <v>51</v>
      </c>
      <c r="E2020" s="7">
        <f t="shared" si="92"/>
        <v>1</v>
      </c>
      <c r="F2020" s="22" t="str">
        <f>IF(ISERROR(VLOOKUP($A2020,#REF!,3,0)),"x",VLOOKUP($A2020,#REF!,3,FALSE))</f>
        <v>x</v>
      </c>
      <c r="G2020" s="9">
        <f t="shared" si="95"/>
        <v>1</v>
      </c>
      <c r="H2020" s="13">
        <f t="shared" si="96"/>
        <v>52.5</v>
      </c>
    </row>
    <row r="2021" spans="1:8" x14ac:dyDescent="0.25">
      <c r="A2021" s="2" t="str">
        <f>"SCH-112118"</f>
        <v>SCH-112118</v>
      </c>
      <c r="B2021" s="2" t="str">
        <f>"Flexible Kupplung, mit Einspeisemöglichkeit, grau"</f>
        <v>Flexible Kupplung, mit Einspeisemöglichkeit, grau</v>
      </c>
      <c r="C2021" s="16">
        <v>52.5</v>
      </c>
      <c r="D2021" s="11">
        <v>51</v>
      </c>
      <c r="E2021" s="7">
        <f t="shared" si="92"/>
        <v>1</v>
      </c>
      <c r="F2021" s="22" t="str">
        <f>IF(ISERROR(VLOOKUP($A2021,#REF!,3,0)),"x",VLOOKUP($A2021,#REF!,3,FALSE))</f>
        <v>x</v>
      </c>
      <c r="G2021" s="9">
        <f t="shared" si="95"/>
        <v>1</v>
      </c>
      <c r="H2021" s="13">
        <f t="shared" si="96"/>
        <v>52.5</v>
      </c>
    </row>
    <row r="2022" spans="1:8" x14ac:dyDescent="0.25">
      <c r="A2022" s="2" t="str">
        <f>"SCH-112121N"</f>
        <v>SCH-112121N</v>
      </c>
      <c r="B2022" s="2" t="str">
        <f>"T-Verbinder mit Einspeisemöglichkeit, Schutzleiter innen rechts, verkehrsweiß"</f>
        <v>T-Verbinder mit Einspeisemöglichkeit, Schutzleiter innen rechts, verkehrsweiß</v>
      </c>
      <c r="C2022" s="16">
        <v>57.5</v>
      </c>
      <c r="D2022" s="11">
        <v>51</v>
      </c>
      <c r="E2022" s="7">
        <f t="shared" si="92"/>
        <v>1</v>
      </c>
      <c r="F2022" s="22" t="str">
        <f>IF(ISERROR(VLOOKUP($A2022,#REF!,3,0)),"x",VLOOKUP($A2022,#REF!,3,FALSE))</f>
        <v>x</v>
      </c>
      <c r="G2022" s="9">
        <f t="shared" si="95"/>
        <v>1</v>
      </c>
      <c r="H2022" s="13">
        <f t="shared" si="96"/>
        <v>57.5</v>
      </c>
    </row>
    <row r="2023" spans="1:8" x14ac:dyDescent="0.25">
      <c r="A2023" s="2" t="str">
        <f>"SCH-112122"</f>
        <v>SCH-112122</v>
      </c>
      <c r="B2023" s="2" t="str">
        <f>"T-Verbinder mit Einspeisemöglichkeit, Schutzleiter innen rechts, schwarz"</f>
        <v>T-Verbinder mit Einspeisemöglichkeit, Schutzleiter innen rechts, schwarz</v>
      </c>
      <c r="C2023" s="16">
        <v>57.5</v>
      </c>
      <c r="D2023" s="11">
        <v>51</v>
      </c>
      <c r="E2023" s="7">
        <f t="shared" si="92"/>
        <v>1</v>
      </c>
      <c r="F2023" s="22" t="str">
        <f>IF(ISERROR(VLOOKUP($A2023,#REF!,3,0)),"x",VLOOKUP($A2023,#REF!,3,FALSE))</f>
        <v>x</v>
      </c>
      <c r="G2023" s="9">
        <f t="shared" si="95"/>
        <v>1</v>
      </c>
      <c r="H2023" s="13">
        <f t="shared" si="96"/>
        <v>57.5</v>
      </c>
    </row>
    <row r="2024" spans="1:8" x14ac:dyDescent="0.25">
      <c r="A2024" s="2" t="str">
        <f>"SCH-112127"</f>
        <v>SCH-112127</v>
      </c>
      <c r="B2024" s="2" t="str">
        <f>"T-Verbinder mit Einspeisemöglichkeit, Schutzleiter innen rechts, silber"</f>
        <v>T-Verbinder mit Einspeisemöglichkeit, Schutzleiter innen rechts, silber</v>
      </c>
      <c r="C2024" s="16">
        <v>87.5</v>
      </c>
      <c r="D2024" s="11">
        <v>51</v>
      </c>
      <c r="E2024" s="7">
        <f t="shared" si="92"/>
        <v>1</v>
      </c>
      <c r="F2024" s="22" t="str">
        <f>IF(ISERROR(VLOOKUP($A2024,#REF!,3,0)),"x",VLOOKUP($A2024,#REF!,3,FALSE))</f>
        <v>x</v>
      </c>
      <c r="G2024" s="9">
        <f t="shared" si="95"/>
        <v>1</v>
      </c>
      <c r="H2024" s="13">
        <f t="shared" si="96"/>
        <v>87.5</v>
      </c>
    </row>
    <row r="2025" spans="1:8" x14ac:dyDescent="0.25">
      <c r="A2025" s="2" t="str">
        <f>"SCH-112131N"</f>
        <v>SCH-112131N</v>
      </c>
      <c r="B2025" s="2" t="str">
        <f>"T-Verbinder mit Einspeisemöglichkeit, Schutzleiter innen links, verkehrsweiß"</f>
        <v>T-Verbinder mit Einspeisemöglichkeit, Schutzleiter innen links, verkehrsweiß</v>
      </c>
      <c r="C2025" s="16">
        <v>57.5</v>
      </c>
      <c r="D2025" s="11">
        <v>51</v>
      </c>
      <c r="E2025" s="7">
        <f t="shared" si="92"/>
        <v>1</v>
      </c>
      <c r="F2025" s="22" t="str">
        <f>IF(ISERROR(VLOOKUP($A2025,#REF!,3,0)),"x",VLOOKUP($A2025,#REF!,3,FALSE))</f>
        <v>x</v>
      </c>
      <c r="G2025" s="9">
        <f t="shared" si="95"/>
        <v>1</v>
      </c>
      <c r="H2025" s="13">
        <f t="shared" si="96"/>
        <v>57.5</v>
      </c>
    </row>
    <row r="2026" spans="1:8" x14ac:dyDescent="0.25">
      <c r="A2026" s="2" t="str">
        <f>"SCH-112132"</f>
        <v>SCH-112132</v>
      </c>
      <c r="B2026" s="2" t="str">
        <f>"T-Verbinder mit Einspeisemöglichkeit, Schutzleiter innen links, schwarz"</f>
        <v>T-Verbinder mit Einspeisemöglichkeit, Schutzleiter innen links, schwarz</v>
      </c>
      <c r="C2026" s="16">
        <v>57.5</v>
      </c>
      <c r="D2026" s="11">
        <v>51</v>
      </c>
      <c r="E2026" s="7">
        <f t="shared" si="92"/>
        <v>1</v>
      </c>
      <c r="F2026" s="22" t="str">
        <f>IF(ISERROR(VLOOKUP($A2026,#REF!,3,0)),"x",VLOOKUP($A2026,#REF!,3,FALSE))</f>
        <v>x</v>
      </c>
      <c r="G2026" s="9">
        <f t="shared" si="95"/>
        <v>1</v>
      </c>
      <c r="H2026" s="13">
        <f t="shared" si="96"/>
        <v>57.5</v>
      </c>
    </row>
    <row r="2027" spans="1:8" x14ac:dyDescent="0.25">
      <c r="A2027" s="2" t="str">
        <f>"SCH-112137"</f>
        <v>SCH-112137</v>
      </c>
      <c r="B2027" s="2" t="str">
        <f>"T-Verbinder mit Einspeisemöglichkeit, Schutzleiter innen links, silber"</f>
        <v>T-Verbinder mit Einspeisemöglichkeit, Schutzleiter innen links, silber</v>
      </c>
      <c r="C2027" s="16">
        <v>87.5</v>
      </c>
      <c r="D2027" s="11">
        <v>51</v>
      </c>
      <c r="E2027" s="7">
        <f t="shared" si="92"/>
        <v>1</v>
      </c>
      <c r="F2027" s="22" t="str">
        <f>IF(ISERROR(VLOOKUP($A2027,#REF!,3,0)),"x",VLOOKUP($A2027,#REF!,3,FALSE))</f>
        <v>x</v>
      </c>
      <c r="G2027" s="9">
        <f t="shared" si="95"/>
        <v>1</v>
      </c>
      <c r="H2027" s="13">
        <f t="shared" si="96"/>
        <v>87.5</v>
      </c>
    </row>
    <row r="2028" spans="1:8" x14ac:dyDescent="0.25">
      <c r="A2028" s="2" t="str">
        <f>"SCH-112141N"</f>
        <v>SCH-112141N</v>
      </c>
      <c r="B2028" s="2" t="str">
        <f>"T-Verbinder mit Einspeisemöglichkeit, Schutzleiter außen rechts, verkehrsweiß"</f>
        <v>T-Verbinder mit Einspeisemöglichkeit, Schutzleiter außen rechts, verkehrsweiß</v>
      </c>
      <c r="C2028" s="16">
        <v>57.5</v>
      </c>
      <c r="D2028" s="11">
        <v>51</v>
      </c>
      <c r="E2028" s="7">
        <f t="shared" si="92"/>
        <v>1</v>
      </c>
      <c r="F2028" s="22" t="str">
        <f>IF(ISERROR(VLOOKUP($A2028,#REF!,3,0)),"x",VLOOKUP($A2028,#REF!,3,FALSE))</f>
        <v>x</v>
      </c>
      <c r="G2028" s="9">
        <f t="shared" si="95"/>
        <v>1</v>
      </c>
      <c r="H2028" s="13">
        <f t="shared" si="96"/>
        <v>57.5</v>
      </c>
    </row>
    <row r="2029" spans="1:8" x14ac:dyDescent="0.25">
      <c r="A2029" s="2" t="str">
        <f>"SCH-112142"</f>
        <v>SCH-112142</v>
      </c>
      <c r="B2029" s="2" t="str">
        <f>"T-Verbinder mit Einspeisemöglichkeit, Schutzleiter außen rechts, schwarz"</f>
        <v>T-Verbinder mit Einspeisemöglichkeit, Schutzleiter außen rechts, schwarz</v>
      </c>
      <c r="C2029" s="16">
        <v>57.5</v>
      </c>
      <c r="D2029" s="11">
        <v>51</v>
      </c>
      <c r="E2029" s="7">
        <f t="shared" si="92"/>
        <v>1</v>
      </c>
      <c r="F2029" s="22" t="str">
        <f>IF(ISERROR(VLOOKUP($A2029,#REF!,3,0)),"x",VLOOKUP($A2029,#REF!,3,FALSE))</f>
        <v>x</v>
      </c>
      <c r="G2029" s="9">
        <f t="shared" si="95"/>
        <v>1</v>
      </c>
      <c r="H2029" s="13">
        <f t="shared" si="96"/>
        <v>57.5</v>
      </c>
    </row>
    <row r="2030" spans="1:8" x14ac:dyDescent="0.25">
      <c r="A2030" s="2" t="str">
        <f>"SCH-112147"</f>
        <v>SCH-112147</v>
      </c>
      <c r="B2030" s="2" t="str">
        <f>"T-Verbinder mit Einspeisemöglichkeit, Schutzleiter außen rechts, silber"</f>
        <v>T-Verbinder mit Einspeisemöglichkeit, Schutzleiter außen rechts, silber</v>
      </c>
      <c r="C2030" s="16">
        <v>87.5</v>
      </c>
      <c r="D2030" s="11">
        <v>51</v>
      </c>
      <c r="E2030" s="7">
        <f t="shared" si="92"/>
        <v>1</v>
      </c>
      <c r="F2030" s="22" t="str">
        <f>IF(ISERROR(VLOOKUP($A2030,#REF!,3,0)),"x",VLOOKUP($A2030,#REF!,3,FALSE))</f>
        <v>x</v>
      </c>
      <c r="G2030" s="9">
        <f t="shared" si="95"/>
        <v>1</v>
      </c>
      <c r="H2030" s="13">
        <f t="shared" si="96"/>
        <v>87.5</v>
      </c>
    </row>
    <row r="2031" spans="1:8" x14ac:dyDescent="0.25">
      <c r="A2031" s="2" t="str">
        <f>"SCH-112151N"</f>
        <v>SCH-112151N</v>
      </c>
      <c r="B2031" s="2" t="str">
        <f>"T-Verbinder mit Einspeisemöglichkeit, Schutzleiter außen links, verkehrsweiß"</f>
        <v>T-Verbinder mit Einspeisemöglichkeit, Schutzleiter außen links, verkehrsweiß</v>
      </c>
      <c r="C2031" s="16">
        <v>57.5</v>
      </c>
      <c r="D2031" s="11">
        <v>51</v>
      </c>
      <c r="E2031" s="7">
        <f t="shared" si="92"/>
        <v>1</v>
      </c>
      <c r="F2031" s="22" t="str">
        <f>IF(ISERROR(VLOOKUP($A2031,#REF!,3,0)),"x",VLOOKUP($A2031,#REF!,3,FALSE))</f>
        <v>x</v>
      </c>
      <c r="G2031" s="9">
        <f t="shared" si="95"/>
        <v>1</v>
      </c>
      <c r="H2031" s="13">
        <f t="shared" si="96"/>
        <v>57.5</v>
      </c>
    </row>
    <row r="2032" spans="1:8" x14ac:dyDescent="0.25">
      <c r="A2032" s="2" t="str">
        <f>"SCH-112152"</f>
        <v>SCH-112152</v>
      </c>
      <c r="B2032" s="2" t="str">
        <f>"T-Verbinder mit Einspeisemöglichkeit, Schutzleiter außen links, schwarz"</f>
        <v>T-Verbinder mit Einspeisemöglichkeit, Schutzleiter außen links, schwarz</v>
      </c>
      <c r="C2032" s="16">
        <v>57.5</v>
      </c>
      <c r="D2032" s="11">
        <v>51</v>
      </c>
      <c r="E2032" s="7">
        <f t="shared" si="92"/>
        <v>1</v>
      </c>
      <c r="F2032" s="22" t="str">
        <f>IF(ISERROR(VLOOKUP($A2032,#REF!,3,0)),"x",VLOOKUP($A2032,#REF!,3,FALSE))</f>
        <v>x</v>
      </c>
      <c r="G2032" s="9">
        <f t="shared" si="95"/>
        <v>1</v>
      </c>
      <c r="H2032" s="13">
        <f t="shared" si="96"/>
        <v>57.5</v>
      </c>
    </row>
    <row r="2033" spans="1:8" x14ac:dyDescent="0.25">
      <c r="A2033" s="2" t="str">
        <f>"SCH-112157"</f>
        <v>SCH-112157</v>
      </c>
      <c r="B2033" s="2" t="str">
        <f>"T-Verbinder mit Einspeisemöglichkeit, Schutzleiter außen links, silber"</f>
        <v>T-Verbinder mit Einspeisemöglichkeit, Schutzleiter außen links, silber</v>
      </c>
      <c r="C2033" s="16">
        <v>87.5</v>
      </c>
      <c r="D2033" s="11">
        <v>51</v>
      </c>
      <c r="E2033" s="7">
        <f t="shared" si="92"/>
        <v>1</v>
      </c>
      <c r="F2033" s="22" t="str">
        <f>IF(ISERROR(VLOOKUP($A2033,#REF!,3,0)),"x",VLOOKUP($A2033,#REF!,3,FALSE))</f>
        <v>x</v>
      </c>
      <c r="G2033" s="9">
        <f t="shared" si="95"/>
        <v>1</v>
      </c>
      <c r="H2033" s="13">
        <f t="shared" si="96"/>
        <v>87.5</v>
      </c>
    </row>
    <row r="2034" spans="1:8" x14ac:dyDescent="0.25">
      <c r="A2034" s="2" t="str">
        <f>"SCH-112161N"</f>
        <v>SCH-112161N</v>
      </c>
      <c r="B2034" s="2" t="str">
        <f>"X-Verbinder mit Einspeisemöglichkeit, verkehrsweiß "</f>
        <v xml:space="preserve">X-Verbinder mit Einspeisemöglichkeit, verkehrsweiß </v>
      </c>
      <c r="C2034" s="16">
        <v>72.5</v>
      </c>
      <c r="D2034" s="11">
        <v>51</v>
      </c>
      <c r="E2034" s="7">
        <f t="shared" si="92"/>
        <v>1</v>
      </c>
      <c r="F2034" s="22" t="str">
        <f>IF(ISERROR(VLOOKUP($A2034,#REF!,3,0)),"x",VLOOKUP($A2034,#REF!,3,FALSE))</f>
        <v>x</v>
      </c>
      <c r="G2034" s="9">
        <f t="shared" si="95"/>
        <v>1</v>
      </c>
      <c r="H2034" s="13">
        <f t="shared" si="96"/>
        <v>72.5</v>
      </c>
    </row>
    <row r="2035" spans="1:8" x14ac:dyDescent="0.25">
      <c r="A2035" s="2" t="str">
        <f>"SCH-112162"</f>
        <v>SCH-112162</v>
      </c>
      <c r="B2035" s="2" t="str">
        <f>"X-Verbinder mit Einspeisemöglichkeit, schwarz "</f>
        <v xml:space="preserve">X-Verbinder mit Einspeisemöglichkeit, schwarz </v>
      </c>
      <c r="C2035" s="16">
        <v>72.5</v>
      </c>
      <c r="D2035" s="11">
        <v>51</v>
      </c>
      <c r="E2035" s="7">
        <f t="shared" si="92"/>
        <v>1</v>
      </c>
      <c r="F2035" s="22" t="str">
        <f>IF(ISERROR(VLOOKUP($A2035,#REF!,3,0)),"x",VLOOKUP($A2035,#REF!,3,FALSE))</f>
        <v>x</v>
      </c>
      <c r="G2035" s="9">
        <f t="shared" si="95"/>
        <v>1</v>
      </c>
      <c r="H2035" s="13">
        <f t="shared" si="96"/>
        <v>72.5</v>
      </c>
    </row>
    <row r="2036" spans="1:8" x14ac:dyDescent="0.25">
      <c r="A2036" s="2" t="str">
        <f>"SCH-112167"</f>
        <v>SCH-112167</v>
      </c>
      <c r="B2036" s="2" t="str">
        <f>"X-Verbinder mit Einspeisemöglichkeit, silber"</f>
        <v>X-Verbinder mit Einspeisemöglichkeit, silber</v>
      </c>
      <c r="C2036" s="16">
        <v>107.5</v>
      </c>
      <c r="D2036" s="11">
        <v>51</v>
      </c>
      <c r="E2036" s="7">
        <f t="shared" si="92"/>
        <v>1</v>
      </c>
      <c r="F2036" s="22" t="str">
        <f>IF(ISERROR(VLOOKUP($A2036,#REF!,3,0)),"x",VLOOKUP($A2036,#REF!,3,FALSE))</f>
        <v>x</v>
      </c>
      <c r="G2036" s="9">
        <f t="shared" si="95"/>
        <v>1</v>
      </c>
      <c r="H2036" s="13">
        <f t="shared" si="96"/>
        <v>107.5</v>
      </c>
    </row>
    <row r="2037" spans="1:8" x14ac:dyDescent="0.25">
      <c r="A2037" s="2" t="str">
        <f>"SCH-1231N"</f>
        <v>SCH-1231N</v>
      </c>
      <c r="B2037" s="2" t="str">
        <f>"Stoßstellenverbinder, für Seil- u. Pendelabhängung für 13mm Ø, verkehrsweiß"</f>
        <v>Stoßstellenverbinder, für Seil- u. Pendelabhängung für 13mm Ø, verkehrsweiß</v>
      </c>
      <c r="C2037" s="16">
        <v>15</v>
      </c>
      <c r="D2037" s="11">
        <v>54</v>
      </c>
      <c r="E2037" s="7">
        <f t="shared" si="92"/>
        <v>1</v>
      </c>
      <c r="F2037" s="22" t="str">
        <f>IF(ISERROR(VLOOKUP($A2037,#REF!,3,0)),"x",VLOOKUP($A2037,#REF!,3,FALSE))</f>
        <v>x</v>
      </c>
      <c r="G2037" s="9">
        <f t="shared" si="95"/>
        <v>1</v>
      </c>
      <c r="H2037" s="13">
        <f t="shared" si="96"/>
        <v>15</v>
      </c>
    </row>
    <row r="2038" spans="1:8" x14ac:dyDescent="0.25">
      <c r="A2038" s="2" t="str">
        <f>"SCH-1232"</f>
        <v>SCH-1232</v>
      </c>
      <c r="B2038" s="2" t="str">
        <f>"Stoßstellenverbinder, für Seil- u. Pendelabhängung für 13mm Ø"</f>
        <v>Stoßstellenverbinder, für Seil- u. Pendelabhängung für 13mm Ø</v>
      </c>
      <c r="C2038" s="16">
        <v>15</v>
      </c>
      <c r="D2038" s="11">
        <v>54</v>
      </c>
      <c r="E2038" s="7">
        <f t="shared" si="92"/>
        <v>1</v>
      </c>
      <c r="F2038" s="22" t="str">
        <f>IF(ISERROR(VLOOKUP($A2038,#REF!,3,0)),"x",VLOOKUP($A2038,#REF!,3,FALSE))</f>
        <v>x</v>
      </c>
      <c r="G2038" s="9">
        <f t="shared" si="95"/>
        <v>1</v>
      </c>
      <c r="H2038" s="13">
        <f t="shared" si="96"/>
        <v>15</v>
      </c>
    </row>
    <row r="2039" spans="1:8" x14ac:dyDescent="0.25">
      <c r="A2039" s="2" t="str">
        <f>"SCH-1237"</f>
        <v>SCH-1237</v>
      </c>
      <c r="B2039" s="2" t="str">
        <f>"Stoßstellenverbinder, für Seil- u. Pendelabhängung für 13mm Ø"</f>
        <v>Stoßstellenverbinder, für Seil- u. Pendelabhängung für 13mm Ø</v>
      </c>
      <c r="C2039" s="16">
        <v>15</v>
      </c>
      <c r="D2039" s="11">
        <v>54</v>
      </c>
      <c r="E2039" s="7">
        <f t="shared" si="92"/>
        <v>1</v>
      </c>
      <c r="F2039" s="22" t="str">
        <f>IF(ISERROR(VLOOKUP($A2039,#REF!,3,0)),"x",VLOOKUP($A2039,#REF!,3,FALSE))</f>
        <v>x</v>
      </c>
      <c r="G2039" s="9">
        <f t="shared" si="95"/>
        <v>1</v>
      </c>
      <c r="H2039" s="13">
        <f t="shared" si="96"/>
        <v>15</v>
      </c>
    </row>
    <row r="2040" spans="1:8" x14ac:dyDescent="0.25">
      <c r="A2040" s="2" t="str">
        <f>"SCH-132011N"</f>
        <v>SCH-132011N</v>
      </c>
      <c r="B2040" s="2" t="str">
        <f>"Einspeiser mit umlaufender Deckenauflage, Schutzleiter rechts, verkehrsweiß"</f>
        <v>Einspeiser mit umlaufender Deckenauflage, Schutzleiter rechts, verkehrsweiß</v>
      </c>
      <c r="C2040" s="16">
        <v>22.5</v>
      </c>
      <c r="D2040" s="11">
        <v>63</v>
      </c>
      <c r="E2040" s="7">
        <f t="shared" si="92"/>
        <v>1</v>
      </c>
      <c r="F2040" s="22" t="str">
        <f>IF(ISERROR(VLOOKUP($A2040,#REF!,3,0)),"x",VLOOKUP($A2040,#REF!,3,FALSE))</f>
        <v>x</v>
      </c>
      <c r="G2040" s="9">
        <f t="shared" si="95"/>
        <v>1</v>
      </c>
      <c r="H2040" s="13">
        <f t="shared" si="96"/>
        <v>22.5</v>
      </c>
    </row>
    <row r="2041" spans="1:8" x14ac:dyDescent="0.25">
      <c r="A2041" s="2" t="str">
        <f>"SCH-132012"</f>
        <v>SCH-132012</v>
      </c>
      <c r="B2041" s="2" t="str">
        <f>"Einspeiser mit umlaufender Deckenauflage, Schutzleiter rechts, schwarz"</f>
        <v>Einspeiser mit umlaufender Deckenauflage, Schutzleiter rechts, schwarz</v>
      </c>
      <c r="C2041" s="16">
        <v>22.5</v>
      </c>
      <c r="D2041" s="11">
        <v>63</v>
      </c>
      <c r="E2041" s="7">
        <f t="shared" si="92"/>
        <v>1</v>
      </c>
      <c r="F2041" s="22" t="str">
        <f>IF(ISERROR(VLOOKUP($A2041,#REF!,3,0)),"x",VLOOKUP($A2041,#REF!,3,FALSE))</f>
        <v>x</v>
      </c>
      <c r="G2041" s="9">
        <f t="shared" si="95"/>
        <v>1</v>
      </c>
      <c r="H2041" s="13">
        <f t="shared" si="96"/>
        <v>22.5</v>
      </c>
    </row>
    <row r="2042" spans="1:8" x14ac:dyDescent="0.25">
      <c r="A2042" s="2" t="str">
        <f>"SCH-132021N"</f>
        <v>SCH-132021N</v>
      </c>
      <c r="B2042" s="2" t="str">
        <f>"Einspeiser mit umlaufender Deckenauflage, Schutzleiter links, verkehrsweiß"</f>
        <v>Einspeiser mit umlaufender Deckenauflage, Schutzleiter links, verkehrsweiß</v>
      </c>
      <c r="C2042" s="16">
        <v>22.5</v>
      </c>
      <c r="D2042" s="11">
        <v>63</v>
      </c>
      <c r="E2042" s="7">
        <f t="shared" si="92"/>
        <v>1</v>
      </c>
      <c r="F2042" s="22" t="str">
        <f>IF(ISERROR(VLOOKUP($A2042,#REF!,3,0)),"x",VLOOKUP($A2042,#REF!,3,FALSE))</f>
        <v>x</v>
      </c>
      <c r="G2042" s="9">
        <f t="shared" si="95"/>
        <v>1</v>
      </c>
      <c r="H2042" s="13">
        <f t="shared" si="96"/>
        <v>22.5</v>
      </c>
    </row>
    <row r="2043" spans="1:8" x14ac:dyDescent="0.25">
      <c r="A2043" s="2" t="str">
        <f>"SCH-132022"</f>
        <v>SCH-132022</v>
      </c>
      <c r="B2043" s="2" t="str">
        <f>"Einspeiser mit umlaufender Deckenauflage, Schutzleiter links, schwarz"</f>
        <v>Einspeiser mit umlaufender Deckenauflage, Schutzleiter links, schwarz</v>
      </c>
      <c r="C2043" s="16">
        <v>22.5</v>
      </c>
      <c r="D2043" s="11">
        <v>63</v>
      </c>
      <c r="E2043" s="7">
        <f t="shared" si="92"/>
        <v>1</v>
      </c>
      <c r="F2043" s="22" t="str">
        <f>IF(ISERROR(VLOOKUP($A2043,#REF!,3,0)),"x",VLOOKUP($A2043,#REF!,3,FALSE))</f>
        <v>x</v>
      </c>
      <c r="G2043" s="9">
        <f t="shared" si="95"/>
        <v>1</v>
      </c>
      <c r="H2043" s="13">
        <f t="shared" si="96"/>
        <v>22.5</v>
      </c>
    </row>
    <row r="2044" spans="1:8" x14ac:dyDescent="0.25">
      <c r="A2044" s="2" t="str">
        <f>"SCH-132051N"</f>
        <v>SCH-132051N</v>
      </c>
      <c r="B2044" s="2" t="str">
        <f>"Endeinspeiser, innenliegend, profilbündig mit Endkappe, verkehrsweiß"</f>
        <v>Endeinspeiser, innenliegend, profilbündig mit Endkappe, verkehrsweiß</v>
      </c>
      <c r="C2044" s="16">
        <v>27.5</v>
      </c>
      <c r="D2044" s="11">
        <v>63</v>
      </c>
      <c r="E2044" s="7">
        <f t="shared" si="92"/>
        <v>1</v>
      </c>
      <c r="F2044" s="22" t="str">
        <f>IF(ISERROR(VLOOKUP($A2044,#REF!,3,0)),"x",VLOOKUP($A2044,#REF!,3,FALSE))</f>
        <v>x</v>
      </c>
      <c r="G2044" s="9">
        <f t="shared" si="95"/>
        <v>1</v>
      </c>
      <c r="H2044" s="13">
        <f t="shared" si="96"/>
        <v>27.5</v>
      </c>
    </row>
    <row r="2045" spans="1:8" x14ac:dyDescent="0.25">
      <c r="A2045" s="2" t="str">
        <f>"SCH-132052"</f>
        <v>SCH-132052</v>
      </c>
      <c r="B2045" s="2" t="str">
        <f>"Endeinspeiser, innenliegend, profilbündig mit Endkappe, schwarz"</f>
        <v>Endeinspeiser, innenliegend, profilbündig mit Endkappe, schwarz</v>
      </c>
      <c r="C2045" s="16">
        <v>27.5</v>
      </c>
      <c r="D2045" s="11">
        <v>63</v>
      </c>
      <c r="E2045" s="7">
        <f t="shared" si="92"/>
        <v>1</v>
      </c>
      <c r="F2045" s="22" t="str">
        <f>IF(ISERROR(VLOOKUP($A2045,#REF!,3,0)),"x",VLOOKUP($A2045,#REF!,3,FALSE))</f>
        <v>x</v>
      </c>
      <c r="G2045" s="9">
        <f t="shared" si="95"/>
        <v>1</v>
      </c>
      <c r="H2045" s="13">
        <f t="shared" si="96"/>
        <v>27.5</v>
      </c>
    </row>
    <row r="2046" spans="1:8" x14ac:dyDescent="0.25">
      <c r="A2046" s="2" t="str">
        <f>"SCH-132061N"</f>
        <v>SCH-132061N</v>
      </c>
      <c r="B2046" s="2" t="str">
        <f>"Elektrischer u. mechanischer Längsverbinder innenliegend, verkehrsweiß "</f>
        <v xml:space="preserve">Elektrischer u. mechanischer Längsverbinder innenliegend, verkehrsweiß </v>
      </c>
      <c r="C2046" s="16">
        <v>17.5</v>
      </c>
      <c r="D2046" s="11">
        <v>63</v>
      </c>
      <c r="E2046" s="7">
        <f t="shared" si="92"/>
        <v>1</v>
      </c>
      <c r="F2046" s="22" t="str">
        <f>IF(ISERROR(VLOOKUP($A2046,#REF!,3,0)),"x",VLOOKUP($A2046,#REF!,3,FALSE))</f>
        <v>x</v>
      </c>
      <c r="G2046" s="9">
        <f t="shared" si="95"/>
        <v>1</v>
      </c>
      <c r="H2046" s="13">
        <f t="shared" si="96"/>
        <v>17.5</v>
      </c>
    </row>
    <row r="2047" spans="1:8" x14ac:dyDescent="0.25">
      <c r="A2047" s="2" t="str">
        <f>"SCH-132062"</f>
        <v>SCH-132062</v>
      </c>
      <c r="B2047" s="2" t="str">
        <f>"Elektrischer u. mechanischer Längsverbinder innenliegend, schwarz"</f>
        <v>Elektrischer u. mechanischer Längsverbinder innenliegend, schwarz</v>
      </c>
      <c r="C2047" s="16">
        <v>17.5</v>
      </c>
      <c r="D2047" s="11">
        <v>63</v>
      </c>
      <c r="E2047" s="7">
        <f t="shared" si="92"/>
        <v>1</v>
      </c>
      <c r="F2047" s="22" t="str">
        <f>IF(ISERROR(VLOOKUP($A2047,#REF!,3,0)),"x",VLOOKUP($A2047,#REF!,3,FALSE))</f>
        <v>x</v>
      </c>
      <c r="G2047" s="9">
        <f t="shared" si="95"/>
        <v>1</v>
      </c>
      <c r="H2047" s="13">
        <f t="shared" si="96"/>
        <v>17.5</v>
      </c>
    </row>
    <row r="2048" spans="1:8" x14ac:dyDescent="0.25">
      <c r="A2048" s="2" t="str">
        <f>"SCH-132081N"</f>
        <v>SCH-132081N</v>
      </c>
      <c r="B2048" s="2" t="str">
        <f>"Elektrischer Längsverbinder mit Deckenauflage, Einspeisemögl., verkehrsweiß"</f>
        <v>Elektrischer Längsverbinder mit Deckenauflage, Einspeisemögl., verkehrsweiß</v>
      </c>
      <c r="C2048" s="16">
        <v>45</v>
      </c>
      <c r="D2048" s="11">
        <v>63</v>
      </c>
      <c r="E2048" s="7">
        <f t="shared" si="92"/>
        <v>1</v>
      </c>
      <c r="F2048" s="22" t="str">
        <f>IF(ISERROR(VLOOKUP($A2048,#REF!,3,0)),"x",VLOOKUP($A2048,#REF!,3,FALSE))</f>
        <v>x</v>
      </c>
      <c r="G2048" s="9">
        <f t="shared" si="95"/>
        <v>1</v>
      </c>
      <c r="H2048" s="13">
        <f t="shared" si="96"/>
        <v>45</v>
      </c>
    </row>
    <row r="2049" spans="1:8" x14ac:dyDescent="0.25">
      <c r="A2049" s="2" t="str">
        <f>"SCH-132082"</f>
        <v>SCH-132082</v>
      </c>
      <c r="B2049" s="2" t="str">
        <f>"Elektrischer Längsverbinder mit Deckenauflage, Einspeisemögl. schwarz"</f>
        <v>Elektrischer Längsverbinder mit Deckenauflage, Einspeisemögl. schwarz</v>
      </c>
      <c r="C2049" s="16">
        <v>45</v>
      </c>
      <c r="D2049" s="11">
        <v>63</v>
      </c>
      <c r="E2049" s="7">
        <f t="shared" si="92"/>
        <v>1</v>
      </c>
      <c r="F2049" s="22" t="str">
        <f>IF(ISERROR(VLOOKUP($A2049,#REF!,3,0)),"x",VLOOKUP($A2049,#REF!,3,FALSE))</f>
        <v>x</v>
      </c>
      <c r="G2049" s="9">
        <f t="shared" si="95"/>
        <v>1</v>
      </c>
      <c r="H2049" s="13">
        <f t="shared" si="96"/>
        <v>45</v>
      </c>
    </row>
    <row r="2050" spans="1:8" x14ac:dyDescent="0.25">
      <c r="A2050" s="2" t="str">
        <f>"SCH-132091N"</f>
        <v>SCH-132091N</v>
      </c>
      <c r="B2050" s="2" t="str">
        <f>"Eckverbinder mit Deckenauflage, mit Einspeisemöglichkeit, verkehrsweiß"</f>
        <v>Eckverbinder mit Deckenauflage, mit Einspeisemöglichkeit, verkehrsweiß</v>
      </c>
      <c r="C2050" s="16">
        <v>45</v>
      </c>
      <c r="D2050" s="11">
        <v>63</v>
      </c>
      <c r="E2050" s="7">
        <f t="shared" si="92"/>
        <v>1</v>
      </c>
      <c r="F2050" s="22" t="str">
        <f>IF(ISERROR(VLOOKUP($A2050,#REF!,3,0)),"x",VLOOKUP($A2050,#REF!,3,FALSE))</f>
        <v>x</v>
      </c>
      <c r="G2050" s="9">
        <f t="shared" si="95"/>
        <v>1</v>
      </c>
      <c r="H2050" s="13">
        <f t="shared" si="96"/>
        <v>45</v>
      </c>
    </row>
    <row r="2051" spans="1:8" x14ac:dyDescent="0.25">
      <c r="A2051" s="2" t="str">
        <f>"SCH-132092"</f>
        <v>SCH-132092</v>
      </c>
      <c r="B2051" s="2" t="str">
        <f>"Eckverbinder mit Deckenauflage, mit Einspeisemöglichkeit, schwarz"</f>
        <v>Eckverbinder mit Deckenauflage, mit Einspeisemöglichkeit, schwarz</v>
      </c>
      <c r="C2051" s="16">
        <v>45</v>
      </c>
      <c r="D2051" s="11">
        <v>63</v>
      </c>
      <c r="E2051" s="7">
        <f t="shared" si="92"/>
        <v>1</v>
      </c>
      <c r="F2051" s="22" t="str">
        <f>IF(ISERROR(VLOOKUP($A2051,#REF!,3,0)),"x",VLOOKUP($A2051,#REF!,3,FALSE))</f>
        <v>x</v>
      </c>
      <c r="G2051" s="9">
        <f t="shared" ref="G2051:G2114" si="97">IF(C2051&lt;F2051,1,IF(C2051&gt;F2051,-1,0))</f>
        <v>1</v>
      </c>
      <c r="H2051" s="13">
        <f t="shared" si="96"/>
        <v>45</v>
      </c>
    </row>
    <row r="2052" spans="1:8" x14ac:dyDescent="0.25">
      <c r="A2052" s="2" t="str">
        <f>"SCH-132101N"</f>
        <v>SCH-132101N</v>
      </c>
      <c r="B2052" s="2" t="str">
        <f>"Eckverbinder mit Deckenauflage, mit Einspeisemöglichkeit, verkehrsweiß"</f>
        <v>Eckverbinder mit Deckenauflage, mit Einspeisemöglichkeit, verkehrsweiß</v>
      </c>
      <c r="C2052" s="16">
        <v>45</v>
      </c>
      <c r="D2052" s="11">
        <v>63</v>
      </c>
      <c r="E2052" s="7">
        <f t="shared" si="92"/>
        <v>1</v>
      </c>
      <c r="F2052" s="22" t="str">
        <f>IF(ISERROR(VLOOKUP($A2052,#REF!,3,0)),"x",VLOOKUP($A2052,#REF!,3,FALSE))</f>
        <v>x</v>
      </c>
      <c r="G2052" s="9">
        <f t="shared" si="97"/>
        <v>1</v>
      </c>
      <c r="H2052" s="13">
        <f t="shared" si="96"/>
        <v>45</v>
      </c>
    </row>
    <row r="2053" spans="1:8" x14ac:dyDescent="0.25">
      <c r="A2053" s="2" t="str">
        <f>"SCH-132102"</f>
        <v>SCH-132102</v>
      </c>
      <c r="B2053" s="2" t="str">
        <f>"Eckverbinder mit Deckenauflage, mit Einspeisemöglichkeit, schwarz"</f>
        <v>Eckverbinder mit Deckenauflage, mit Einspeisemöglichkeit, schwarz</v>
      </c>
      <c r="C2053" s="16">
        <v>45</v>
      </c>
      <c r="D2053" s="11">
        <v>63</v>
      </c>
      <c r="E2053" s="7">
        <f t="shared" si="92"/>
        <v>1</v>
      </c>
      <c r="F2053" s="22" t="str">
        <f>IF(ISERROR(VLOOKUP($A2053,#REF!,3,0)),"x",VLOOKUP($A2053,#REF!,3,FALSE))</f>
        <v>x</v>
      </c>
      <c r="G2053" s="9">
        <f t="shared" si="97"/>
        <v>1</v>
      </c>
      <c r="H2053" s="13">
        <f t="shared" ref="H2053:H2116" si="98">IF(F2053="x",C2053,F2053)</f>
        <v>45</v>
      </c>
    </row>
    <row r="2054" spans="1:8" x14ac:dyDescent="0.25">
      <c r="A2054" s="2" t="str">
        <f>"SCH-132121N"</f>
        <v>SCH-132121N</v>
      </c>
      <c r="B2054" s="2" t="str">
        <f>"T-Verbinder mit Deckenauflage, Einspeisemöglichkeit, verkehrsweiß"</f>
        <v>T-Verbinder mit Deckenauflage, Einspeisemöglichkeit, verkehrsweiß</v>
      </c>
      <c r="C2054" s="16">
        <v>70</v>
      </c>
      <c r="D2054" s="11">
        <v>63</v>
      </c>
      <c r="E2054" s="7">
        <f t="shared" si="92"/>
        <v>1</v>
      </c>
      <c r="F2054" s="22" t="str">
        <f>IF(ISERROR(VLOOKUP($A2054,#REF!,3,0)),"x",VLOOKUP($A2054,#REF!,3,FALSE))</f>
        <v>x</v>
      </c>
      <c r="G2054" s="9">
        <f t="shared" si="97"/>
        <v>1</v>
      </c>
      <c r="H2054" s="13">
        <f t="shared" si="98"/>
        <v>70</v>
      </c>
    </row>
    <row r="2055" spans="1:8" x14ac:dyDescent="0.25">
      <c r="A2055" s="2" t="str">
        <f>"SCH-132122"</f>
        <v>SCH-132122</v>
      </c>
      <c r="B2055" s="2" t="str">
        <f>"T-Verbinder mit Deckenauflage, Einspeisemöglichkeit, schwarz"</f>
        <v>T-Verbinder mit Deckenauflage, Einspeisemöglichkeit, schwarz</v>
      </c>
      <c r="C2055" s="16">
        <v>70</v>
      </c>
      <c r="D2055" s="11">
        <v>63</v>
      </c>
      <c r="E2055" s="7">
        <f t="shared" si="92"/>
        <v>1</v>
      </c>
      <c r="F2055" s="22" t="str">
        <f>IF(ISERROR(VLOOKUP($A2055,#REF!,3,0)),"x",VLOOKUP($A2055,#REF!,3,FALSE))</f>
        <v>x</v>
      </c>
      <c r="G2055" s="9">
        <f t="shared" si="97"/>
        <v>1</v>
      </c>
      <c r="H2055" s="13">
        <f t="shared" si="98"/>
        <v>70</v>
      </c>
    </row>
    <row r="2056" spans="1:8" x14ac:dyDescent="0.25">
      <c r="A2056" s="2" t="str">
        <f>"SCH-132131N"</f>
        <v>SCH-132131N</v>
      </c>
      <c r="B2056" s="2" t="str">
        <f>"T-Verbinder mit Deckenauflage, Einspeisemöglichkeit, verkahrsweiß"</f>
        <v>T-Verbinder mit Deckenauflage, Einspeisemöglichkeit, verkahrsweiß</v>
      </c>
      <c r="C2056" s="16">
        <v>70</v>
      </c>
      <c r="D2056" s="11">
        <v>63</v>
      </c>
      <c r="E2056" s="7">
        <f t="shared" si="92"/>
        <v>1</v>
      </c>
      <c r="F2056" s="22" t="str">
        <f>IF(ISERROR(VLOOKUP($A2056,#REF!,3,0)),"x",VLOOKUP($A2056,#REF!,3,FALSE))</f>
        <v>x</v>
      </c>
      <c r="G2056" s="9">
        <f t="shared" si="97"/>
        <v>1</v>
      </c>
      <c r="H2056" s="13">
        <f t="shared" si="98"/>
        <v>70</v>
      </c>
    </row>
    <row r="2057" spans="1:8" x14ac:dyDescent="0.25">
      <c r="A2057" s="2" t="str">
        <f>"SCH-132132"</f>
        <v>SCH-132132</v>
      </c>
      <c r="B2057" s="2" t="str">
        <f>"T-Verbinder mit Deckenauflage, Einspeisemöglichkeit, schwarz"</f>
        <v>T-Verbinder mit Deckenauflage, Einspeisemöglichkeit, schwarz</v>
      </c>
      <c r="C2057" s="16">
        <v>70</v>
      </c>
      <c r="D2057" s="11">
        <v>63</v>
      </c>
      <c r="E2057" s="7">
        <f t="shared" si="92"/>
        <v>1</v>
      </c>
      <c r="F2057" s="22" t="str">
        <f>IF(ISERROR(VLOOKUP($A2057,#REF!,3,0)),"x",VLOOKUP($A2057,#REF!,3,FALSE))</f>
        <v>x</v>
      </c>
      <c r="G2057" s="9">
        <f t="shared" si="97"/>
        <v>1</v>
      </c>
      <c r="H2057" s="13">
        <f t="shared" si="98"/>
        <v>70</v>
      </c>
    </row>
    <row r="2058" spans="1:8" x14ac:dyDescent="0.25">
      <c r="A2058" s="2" t="str">
        <f>"SCH-132141N"</f>
        <v>SCH-132141N</v>
      </c>
      <c r="B2058" s="2" t="str">
        <f>"T-Verbinder mit Deckenauflage, Einspeisemöglichkeit, verkahrsweiß"</f>
        <v>T-Verbinder mit Deckenauflage, Einspeisemöglichkeit, verkahrsweiß</v>
      </c>
      <c r="C2058" s="16">
        <v>70</v>
      </c>
      <c r="D2058" s="11">
        <v>63</v>
      </c>
      <c r="E2058" s="7">
        <f t="shared" si="92"/>
        <v>1</v>
      </c>
      <c r="F2058" s="22" t="str">
        <f>IF(ISERROR(VLOOKUP($A2058,#REF!,3,0)),"x",VLOOKUP($A2058,#REF!,3,FALSE))</f>
        <v>x</v>
      </c>
      <c r="G2058" s="9">
        <f t="shared" si="97"/>
        <v>1</v>
      </c>
      <c r="H2058" s="13">
        <f t="shared" si="98"/>
        <v>70</v>
      </c>
    </row>
    <row r="2059" spans="1:8" x14ac:dyDescent="0.25">
      <c r="A2059" s="2" t="str">
        <f>"SCH-132142"</f>
        <v>SCH-132142</v>
      </c>
      <c r="B2059" s="2" t="str">
        <f>"T-Verbinder mit Deckenauflage, Einspeisemöglichkeit, schwarz"</f>
        <v>T-Verbinder mit Deckenauflage, Einspeisemöglichkeit, schwarz</v>
      </c>
      <c r="C2059" s="16">
        <v>70</v>
      </c>
      <c r="D2059" s="11">
        <v>63</v>
      </c>
      <c r="E2059" s="7">
        <f t="shared" si="92"/>
        <v>1</v>
      </c>
      <c r="F2059" s="22" t="str">
        <f>IF(ISERROR(VLOOKUP($A2059,#REF!,3,0)),"x",VLOOKUP($A2059,#REF!,3,FALSE))</f>
        <v>x</v>
      </c>
      <c r="G2059" s="9">
        <f t="shared" si="97"/>
        <v>1</v>
      </c>
      <c r="H2059" s="13">
        <f t="shared" si="98"/>
        <v>70</v>
      </c>
    </row>
    <row r="2060" spans="1:8" x14ac:dyDescent="0.25">
      <c r="A2060" s="2" t="str">
        <f>"SCH-132151N"</f>
        <v>SCH-132151N</v>
      </c>
      <c r="B2060" s="2" t="str">
        <f>"T-Verbinder mit Deckenauflage, Einspeisemöglichkeit, verkahrsweiß"</f>
        <v>T-Verbinder mit Deckenauflage, Einspeisemöglichkeit, verkahrsweiß</v>
      </c>
      <c r="C2060" s="16">
        <v>70</v>
      </c>
      <c r="D2060" s="11">
        <v>63</v>
      </c>
      <c r="E2060" s="7">
        <f t="shared" si="92"/>
        <v>1</v>
      </c>
      <c r="F2060" s="22" t="str">
        <f>IF(ISERROR(VLOOKUP($A2060,#REF!,3,0)),"x",VLOOKUP($A2060,#REF!,3,FALSE))</f>
        <v>x</v>
      </c>
      <c r="G2060" s="9">
        <f t="shared" si="97"/>
        <v>1</v>
      </c>
      <c r="H2060" s="13">
        <f t="shared" si="98"/>
        <v>70</v>
      </c>
    </row>
    <row r="2061" spans="1:8" x14ac:dyDescent="0.25">
      <c r="A2061" s="2" t="str">
        <f>"SCH-132152"</f>
        <v>SCH-132152</v>
      </c>
      <c r="B2061" s="2" t="str">
        <f>"T-Verbinder mit Deckenauflage, Einspeisemöglichkeit, schwarz"</f>
        <v>T-Verbinder mit Deckenauflage, Einspeisemöglichkeit, schwarz</v>
      </c>
      <c r="C2061" s="16">
        <v>70</v>
      </c>
      <c r="D2061" s="11">
        <v>63</v>
      </c>
      <c r="E2061" s="7">
        <f t="shared" si="92"/>
        <v>1</v>
      </c>
      <c r="F2061" s="22" t="str">
        <f>IF(ISERROR(VLOOKUP($A2061,#REF!,3,0)),"x",VLOOKUP($A2061,#REF!,3,FALSE))</f>
        <v>x</v>
      </c>
      <c r="G2061" s="9">
        <f t="shared" si="97"/>
        <v>1</v>
      </c>
      <c r="H2061" s="13">
        <f t="shared" si="98"/>
        <v>70</v>
      </c>
    </row>
    <row r="2062" spans="1:8" x14ac:dyDescent="0.25">
      <c r="A2062" s="2" t="str">
        <f>"SCH-132161N"</f>
        <v>SCH-132161N</v>
      </c>
      <c r="B2062" s="2" t="str">
        <f>"X-Verbinder, für Einbauschiene mit Deckenauflage u. Einspeisemögl., verkehrsweiß"</f>
        <v>X-Verbinder, für Einbauschiene mit Deckenauflage u. Einspeisemögl., verkehrsweiß</v>
      </c>
      <c r="C2062" s="16">
        <v>85</v>
      </c>
      <c r="D2062" s="11">
        <v>63</v>
      </c>
      <c r="E2062" s="7">
        <f t="shared" si="92"/>
        <v>1</v>
      </c>
      <c r="F2062" s="22" t="str">
        <f>IF(ISERROR(VLOOKUP($A2062,#REF!,3,0)),"x",VLOOKUP($A2062,#REF!,3,FALSE))</f>
        <v>x</v>
      </c>
      <c r="G2062" s="9">
        <f t="shared" si="97"/>
        <v>1</v>
      </c>
      <c r="H2062" s="13">
        <f t="shared" si="98"/>
        <v>85</v>
      </c>
    </row>
    <row r="2063" spans="1:8" x14ac:dyDescent="0.25">
      <c r="A2063" s="2" t="str">
        <f>"SCH-132162"</f>
        <v>SCH-132162</v>
      </c>
      <c r="B2063" s="2" t="str">
        <f>"X-Verbinder, für Einbauschiene mit Deckenauflage u. Einspeisemögl., schwarz"</f>
        <v>X-Verbinder, für Einbauschiene mit Deckenauflage u. Einspeisemögl., schwarz</v>
      </c>
      <c r="C2063" s="16">
        <v>85</v>
      </c>
      <c r="D2063" s="11">
        <v>63</v>
      </c>
      <c r="E2063" s="7">
        <f t="shared" si="92"/>
        <v>1</v>
      </c>
      <c r="F2063" s="22" t="str">
        <f>IF(ISERROR(VLOOKUP($A2063,#REF!,3,0)),"x",VLOOKUP($A2063,#REF!,3,FALSE))</f>
        <v>x</v>
      </c>
      <c r="G2063" s="9">
        <f t="shared" si="97"/>
        <v>1</v>
      </c>
      <c r="H2063" s="13">
        <f t="shared" si="98"/>
        <v>85</v>
      </c>
    </row>
    <row r="2064" spans="1:8" x14ac:dyDescent="0.25">
      <c r="A2064" s="2" t="str">
        <f>"SCH-1511"</f>
        <v>SCH-1511</v>
      </c>
      <c r="B2064" s="2" t="str">
        <f>"Gripper mit Stromschienenclip für max. Seil Ø1,5mm, weiß"</f>
        <v>Gripper mit Stromschienenclip für max. Seil Ø1,5mm, weiß</v>
      </c>
      <c r="C2064" s="16">
        <v>7.5</v>
      </c>
      <c r="D2064" s="11">
        <v>53</v>
      </c>
      <c r="E2064" s="7">
        <f t="shared" si="92"/>
        <v>1</v>
      </c>
      <c r="F2064" s="22" t="str">
        <f>IF(ISERROR(VLOOKUP($A2064,#REF!,3,0)),"x",VLOOKUP($A2064,#REF!,3,FALSE))</f>
        <v>x</v>
      </c>
      <c r="G2064" s="9">
        <f t="shared" si="97"/>
        <v>1</v>
      </c>
      <c r="H2064" s="13">
        <f t="shared" si="98"/>
        <v>7.5</v>
      </c>
    </row>
    <row r="2065" spans="1:8" x14ac:dyDescent="0.25">
      <c r="A2065" s="2" t="str">
        <f>"SCH-1512"</f>
        <v>SCH-1512</v>
      </c>
      <c r="B2065" s="2" t="str">
        <f>"Gripper mit Stromschienenclip für max. Seil Ø1,5mm, schwarz"</f>
        <v>Gripper mit Stromschienenclip für max. Seil Ø1,5mm, schwarz</v>
      </c>
      <c r="C2065" s="16">
        <v>7.5</v>
      </c>
      <c r="D2065" s="11">
        <v>53</v>
      </c>
      <c r="E2065" s="7">
        <f t="shared" si="92"/>
        <v>1</v>
      </c>
      <c r="F2065" s="22" t="str">
        <f>IF(ISERROR(VLOOKUP($A2065,#REF!,3,0)),"x",VLOOKUP($A2065,#REF!,3,FALSE))</f>
        <v>x</v>
      </c>
      <c r="G2065" s="9">
        <f t="shared" si="97"/>
        <v>1</v>
      </c>
      <c r="H2065" s="13">
        <f t="shared" si="98"/>
        <v>7.5</v>
      </c>
    </row>
    <row r="2066" spans="1:8" x14ac:dyDescent="0.25">
      <c r="A2066" s="2" t="str">
        <f>"SCH-1517"</f>
        <v>SCH-1517</v>
      </c>
      <c r="B2066" s="2" t="str">
        <f>"Gripper mit Stromschienenclip für max. Seil Ø1,5mm, silber"</f>
        <v>Gripper mit Stromschienenclip für max. Seil Ø1,5mm, silber</v>
      </c>
      <c r="C2066" s="16">
        <v>7.5</v>
      </c>
      <c r="D2066" s="11">
        <v>53</v>
      </c>
      <c r="E2066" s="7">
        <f t="shared" si="92"/>
        <v>1</v>
      </c>
      <c r="F2066" s="22" t="str">
        <f>IF(ISERROR(VLOOKUP($A2066,#REF!,3,0)),"x",VLOOKUP($A2066,#REF!,3,FALSE))</f>
        <v>x</v>
      </c>
      <c r="G2066" s="9">
        <f t="shared" si="97"/>
        <v>1</v>
      </c>
      <c r="H2066" s="13">
        <f t="shared" si="98"/>
        <v>7.5</v>
      </c>
    </row>
    <row r="2067" spans="1:8" x14ac:dyDescent="0.25">
      <c r="A2067" s="2" t="str">
        <f>"SCH-152031N"</f>
        <v>SCH-152031N</v>
      </c>
      <c r="B2067" s="2" t="str">
        <f>"Mitteneinspeiser für 3-Phasen-Schiene, verkehrsweiß"</f>
        <v>Mitteneinspeiser für 3-Phasen-Schiene, verkehrsweiß</v>
      </c>
      <c r="C2067" s="16">
        <v>32.5</v>
      </c>
      <c r="D2067" s="11">
        <v>51</v>
      </c>
      <c r="E2067" s="7">
        <f t="shared" si="92"/>
        <v>1</v>
      </c>
      <c r="F2067" s="22" t="str">
        <f>IF(ISERROR(VLOOKUP($A2067,#REF!,3,0)),"x",VLOOKUP($A2067,#REF!,3,FALSE))</f>
        <v>x</v>
      </c>
      <c r="G2067" s="9">
        <f t="shared" si="97"/>
        <v>1</v>
      </c>
      <c r="H2067" s="13">
        <f t="shared" si="98"/>
        <v>32.5</v>
      </c>
    </row>
    <row r="2068" spans="1:8" x14ac:dyDescent="0.25">
      <c r="A2068" s="2" t="str">
        <f>"SCH-152032"</f>
        <v>SCH-152032</v>
      </c>
      <c r="B2068" s="2" t="str">
        <f>"Mitteneinspeiser für 3-Phasen-Schiene, schwarz"</f>
        <v>Mitteneinspeiser für 3-Phasen-Schiene, schwarz</v>
      </c>
      <c r="C2068" s="16">
        <v>32.5</v>
      </c>
      <c r="D2068" s="11">
        <v>51</v>
      </c>
      <c r="E2068" s="7">
        <f t="shared" si="92"/>
        <v>1</v>
      </c>
      <c r="F2068" s="22" t="str">
        <f>IF(ISERROR(VLOOKUP($A2068,#REF!,3,0)),"x",VLOOKUP($A2068,#REF!,3,FALSE))</f>
        <v>x</v>
      </c>
      <c r="G2068" s="9">
        <f t="shared" si="97"/>
        <v>1</v>
      </c>
      <c r="H2068" s="13">
        <f t="shared" si="98"/>
        <v>32.5</v>
      </c>
    </row>
    <row r="2069" spans="1:8" x14ac:dyDescent="0.25">
      <c r="A2069" s="2" t="str">
        <f>"SCH-152037"</f>
        <v>SCH-152037</v>
      </c>
      <c r="B2069" s="2" t="str">
        <f>"Mitteneinspeiser für 3-Phasen-Schiene, silber"</f>
        <v>Mitteneinspeiser für 3-Phasen-Schiene, silber</v>
      </c>
      <c r="C2069" s="16">
        <v>40</v>
      </c>
      <c r="D2069" s="11">
        <v>51</v>
      </c>
      <c r="E2069" s="7">
        <f t="shared" si="92"/>
        <v>1</v>
      </c>
      <c r="F2069" s="22" t="str">
        <f>IF(ISERROR(VLOOKUP($A2069,#REF!,3,0)),"x",VLOOKUP($A2069,#REF!,3,FALSE))</f>
        <v>x</v>
      </c>
      <c r="G2069" s="9">
        <f t="shared" si="97"/>
        <v>1</v>
      </c>
      <c r="H2069" s="13">
        <f t="shared" si="98"/>
        <v>40</v>
      </c>
    </row>
    <row r="2070" spans="1:8" x14ac:dyDescent="0.25">
      <c r="A2070" s="2" t="str">
        <f>"SCH-201N"</f>
        <v>SCH-201N</v>
      </c>
      <c r="B2070" s="2" t="str">
        <f>"3-Phasen-Aufbau-Schiene, 2m, verkehrsweiß"</f>
        <v>3-Phasen-Aufbau-Schiene, 2m, verkehrsweiß</v>
      </c>
      <c r="C2070" s="16">
        <v>65</v>
      </c>
      <c r="D2070" s="11">
        <v>51</v>
      </c>
      <c r="E2070" s="7">
        <f t="shared" si="92"/>
        <v>1</v>
      </c>
      <c r="F2070" s="22" t="str">
        <f>IF(ISERROR(VLOOKUP($A2070,#REF!,3,0)),"x",VLOOKUP($A2070,#REF!,3,FALSE))</f>
        <v>x</v>
      </c>
      <c r="G2070" s="9">
        <f t="shared" si="97"/>
        <v>1</v>
      </c>
      <c r="H2070" s="13">
        <f t="shared" si="98"/>
        <v>65</v>
      </c>
    </row>
    <row r="2071" spans="1:8" x14ac:dyDescent="0.25">
      <c r="A2071" s="2" t="str">
        <f>"SCH-202"</f>
        <v>SCH-202</v>
      </c>
      <c r="B2071" s="2" t="str">
        <f>"3-Phasen-Aufbau-Schiene, 2m, schwarz"</f>
        <v>3-Phasen-Aufbau-Schiene, 2m, schwarz</v>
      </c>
      <c r="C2071" s="16">
        <v>65</v>
      </c>
      <c r="D2071" s="11">
        <v>51</v>
      </c>
      <c r="E2071" s="7">
        <f t="shared" si="92"/>
        <v>1</v>
      </c>
      <c r="F2071" s="22" t="str">
        <f>IF(ISERROR(VLOOKUP($A2071,#REF!,3,0)),"x",VLOOKUP($A2071,#REF!,3,FALSE))</f>
        <v>x</v>
      </c>
      <c r="G2071" s="9">
        <f t="shared" si="97"/>
        <v>1</v>
      </c>
      <c r="H2071" s="13">
        <f t="shared" si="98"/>
        <v>65</v>
      </c>
    </row>
    <row r="2072" spans="1:8" x14ac:dyDescent="0.25">
      <c r="A2072" s="2" t="str">
        <f>"SCH-207"</f>
        <v>SCH-207</v>
      </c>
      <c r="B2072" s="2" t="str">
        <f>"3-Phasen-Aufbau-Schiene, 2m, alu-silber-eloxiert"</f>
        <v>3-Phasen-Aufbau-Schiene, 2m, alu-silber-eloxiert</v>
      </c>
      <c r="C2072" s="16">
        <v>65</v>
      </c>
      <c r="D2072" s="11">
        <v>51</v>
      </c>
      <c r="E2072" s="7">
        <f t="shared" si="92"/>
        <v>1</v>
      </c>
      <c r="F2072" s="22" t="str">
        <f>IF(ISERROR(VLOOKUP($A2072,#REF!,3,0)),"x",VLOOKUP($A2072,#REF!,3,FALSE))</f>
        <v>x</v>
      </c>
      <c r="G2072" s="9">
        <f t="shared" si="97"/>
        <v>1</v>
      </c>
      <c r="H2072" s="13">
        <f t="shared" si="98"/>
        <v>65</v>
      </c>
    </row>
    <row r="2073" spans="1:8" x14ac:dyDescent="0.25">
      <c r="A2073" s="2" t="str">
        <f>"SCH-2841N"</f>
        <v>SCH-2841N</v>
      </c>
      <c r="B2073" s="2" t="str">
        <f>"Kappe für Universal-Haken, verkehrsweiß"</f>
        <v>Kappe für Universal-Haken, verkehrsweiß</v>
      </c>
      <c r="C2073" s="16">
        <v>5</v>
      </c>
      <c r="D2073" s="11">
        <v>55</v>
      </c>
      <c r="E2073" s="7">
        <f t="shared" si="92"/>
        <v>1</v>
      </c>
      <c r="F2073" s="22" t="str">
        <f>IF(ISERROR(VLOOKUP($A2073,#REF!,3,0)),"x",VLOOKUP($A2073,#REF!,3,FALSE))</f>
        <v>x</v>
      </c>
      <c r="G2073" s="9">
        <f t="shared" si="97"/>
        <v>1</v>
      </c>
      <c r="H2073" s="13">
        <f t="shared" si="98"/>
        <v>5</v>
      </c>
    </row>
    <row r="2074" spans="1:8" x14ac:dyDescent="0.25">
      <c r="A2074" s="2" t="str">
        <f>"SCH-2842"</f>
        <v>SCH-2842</v>
      </c>
      <c r="B2074" s="2" t="str">
        <f>"Kappe für Universal-Haken, schwarz "</f>
        <v xml:space="preserve">Kappe für Universal-Haken, schwarz </v>
      </c>
      <c r="C2074" s="16">
        <v>5</v>
      </c>
      <c r="D2074" s="11">
        <v>55</v>
      </c>
      <c r="E2074" s="7">
        <f t="shared" si="92"/>
        <v>1</v>
      </c>
      <c r="F2074" s="22" t="str">
        <f>IF(ISERROR(VLOOKUP($A2074,#REF!,3,0)),"x",VLOOKUP($A2074,#REF!,3,FALSE))</f>
        <v>x</v>
      </c>
      <c r="G2074" s="9">
        <f t="shared" si="97"/>
        <v>1</v>
      </c>
      <c r="H2074" s="13">
        <f t="shared" si="98"/>
        <v>5</v>
      </c>
    </row>
    <row r="2075" spans="1:8" x14ac:dyDescent="0.25">
      <c r="A2075" s="2" t="str">
        <f>"SCH-2847"</f>
        <v>SCH-2847</v>
      </c>
      <c r="B2075" s="2" t="str">
        <f>"Kappe für Universal-Haken, silber"</f>
        <v>Kappe für Universal-Haken, silber</v>
      </c>
      <c r="C2075" s="16">
        <v>5</v>
      </c>
      <c r="D2075" s="11">
        <v>55</v>
      </c>
      <c r="E2075" s="7">
        <f t="shared" si="92"/>
        <v>1</v>
      </c>
      <c r="F2075" s="22" t="str">
        <f>IF(ISERROR(VLOOKUP($A2075,#REF!,3,0)),"x",VLOOKUP($A2075,#REF!,3,FALSE))</f>
        <v>x</v>
      </c>
      <c r="G2075" s="9">
        <f t="shared" si="97"/>
        <v>1</v>
      </c>
      <c r="H2075" s="13">
        <f t="shared" si="98"/>
        <v>5</v>
      </c>
    </row>
    <row r="2076" spans="1:8" x14ac:dyDescent="0.25">
      <c r="A2076" s="2" t="str">
        <f>"SCH-301N"</f>
        <v>SCH-301N</v>
      </c>
      <c r="B2076" s="2" t="str">
        <f>"3-Phasen-Aufbau-Schiene, 3m, verkehrsweiß"</f>
        <v>3-Phasen-Aufbau-Schiene, 3m, verkehrsweiß</v>
      </c>
      <c r="C2076" s="16">
        <v>97.5</v>
      </c>
      <c r="D2076" s="11">
        <v>51</v>
      </c>
      <c r="E2076" s="7">
        <f t="shared" si="92"/>
        <v>1</v>
      </c>
      <c r="F2076" s="22" t="str">
        <f>IF(ISERROR(VLOOKUP($A2076,#REF!,3,0)),"x",VLOOKUP($A2076,#REF!,3,FALSE))</f>
        <v>x</v>
      </c>
      <c r="G2076" s="9">
        <f t="shared" si="97"/>
        <v>1</v>
      </c>
      <c r="H2076" s="13">
        <f t="shared" si="98"/>
        <v>97.5</v>
      </c>
    </row>
    <row r="2077" spans="1:8" x14ac:dyDescent="0.25">
      <c r="A2077" s="2" t="str">
        <f>"SCH-302"</f>
        <v>SCH-302</v>
      </c>
      <c r="B2077" s="2" t="str">
        <f>"3-Phasen-Aufbau-Schiene, 3m, schwarz"</f>
        <v>3-Phasen-Aufbau-Schiene, 3m, schwarz</v>
      </c>
      <c r="C2077" s="16">
        <v>97.5</v>
      </c>
      <c r="D2077" s="11">
        <v>51</v>
      </c>
      <c r="E2077" s="7">
        <f t="shared" si="92"/>
        <v>1</v>
      </c>
      <c r="F2077" s="22" t="str">
        <f>IF(ISERROR(VLOOKUP($A2077,#REF!,3,0)),"x",VLOOKUP($A2077,#REF!,3,FALSE))</f>
        <v>x</v>
      </c>
      <c r="G2077" s="9">
        <f t="shared" si="97"/>
        <v>1</v>
      </c>
      <c r="H2077" s="13">
        <f t="shared" si="98"/>
        <v>97.5</v>
      </c>
    </row>
    <row r="2078" spans="1:8" x14ac:dyDescent="0.25">
      <c r="A2078" s="2" t="str">
        <f>"SCH-307"</f>
        <v>SCH-307</v>
      </c>
      <c r="B2078" s="2" t="str">
        <f>"3-Phasen-Aufbau-Schiene, 3m, alu-silber-eloxiert"</f>
        <v>3-Phasen-Aufbau-Schiene, 3m, alu-silber-eloxiert</v>
      </c>
      <c r="C2078" s="16">
        <v>97.5</v>
      </c>
      <c r="D2078" s="11">
        <v>51</v>
      </c>
      <c r="E2078" s="7">
        <f t="shared" si="92"/>
        <v>1</v>
      </c>
      <c r="F2078" s="22" t="str">
        <f>IF(ISERROR(VLOOKUP($A2078,#REF!,3,0)),"x",VLOOKUP($A2078,#REF!,3,FALSE))</f>
        <v>x</v>
      </c>
      <c r="G2078" s="9">
        <f t="shared" si="97"/>
        <v>1</v>
      </c>
      <c r="H2078" s="13">
        <f t="shared" si="98"/>
        <v>97.5</v>
      </c>
    </row>
    <row r="2079" spans="1:8" x14ac:dyDescent="0.25">
      <c r="A2079" s="2" t="str">
        <f>"SCH-3187"</f>
        <v>SCH-3187</v>
      </c>
      <c r="B2079" s="2" t="str">
        <f>"Seilaufhängung, für SCH-075x, Länge 1500 mm, höhenverstellbar"</f>
        <v>Seilaufhängung, für SCH-075x, Länge 1500 mm, höhenverstellbar</v>
      </c>
      <c r="C2079" s="16">
        <v>7.5</v>
      </c>
      <c r="D2079" s="11">
        <v>52</v>
      </c>
      <c r="E2079" s="7">
        <f t="shared" si="92"/>
        <v>1</v>
      </c>
      <c r="F2079" s="22" t="str">
        <f>IF(ISERROR(VLOOKUP($A2079,#REF!,3,0)),"x",VLOOKUP($A2079,#REF!,3,FALSE))</f>
        <v>x</v>
      </c>
      <c r="G2079" s="9">
        <f t="shared" si="97"/>
        <v>1</v>
      </c>
      <c r="H2079" s="13">
        <f t="shared" si="98"/>
        <v>7.5</v>
      </c>
    </row>
    <row r="2080" spans="1:8" x14ac:dyDescent="0.25">
      <c r="A2080" s="2" t="str">
        <f>"SCH-3197"</f>
        <v>SCH-3197</v>
      </c>
      <c r="B2080" s="2" t="str">
        <f>"Seilaufhängung, für SCH-075x, Länge 3000 mm, höhenverstellbar"</f>
        <v>Seilaufhängung, für SCH-075x, Länge 3000 mm, höhenverstellbar</v>
      </c>
      <c r="C2080" s="16">
        <v>10</v>
      </c>
      <c r="D2080" s="11">
        <v>52</v>
      </c>
      <c r="E2080" s="7">
        <f t="shared" si="92"/>
        <v>1</v>
      </c>
      <c r="F2080" s="22" t="str">
        <f>IF(ISERROR(VLOOKUP($A2080,#REF!,3,0)),"x",VLOOKUP($A2080,#REF!,3,FALSE))</f>
        <v>x</v>
      </c>
      <c r="G2080" s="9">
        <f t="shared" si="97"/>
        <v>1</v>
      </c>
      <c r="H2080" s="13">
        <f t="shared" si="98"/>
        <v>10</v>
      </c>
    </row>
    <row r="2081" spans="1:8" x14ac:dyDescent="0.25">
      <c r="A2081" s="2" t="str">
        <f>"SCH-401N"</f>
        <v>SCH-401N</v>
      </c>
      <c r="B2081" s="2" t="str">
        <f>"3-Phasen-Aufbau-Schiene, 4m, verkehrsweiß"</f>
        <v>3-Phasen-Aufbau-Schiene, 4m, verkehrsweiß</v>
      </c>
      <c r="C2081" s="16">
        <v>127.5</v>
      </c>
      <c r="D2081" s="11">
        <v>51</v>
      </c>
      <c r="E2081" s="7">
        <f t="shared" si="92"/>
        <v>1</v>
      </c>
      <c r="F2081" s="22" t="str">
        <f>IF(ISERROR(VLOOKUP($A2081,#REF!,3,0)),"x",VLOOKUP($A2081,#REF!,3,FALSE))</f>
        <v>x</v>
      </c>
      <c r="G2081" s="9">
        <f t="shared" si="97"/>
        <v>1</v>
      </c>
      <c r="H2081" s="13">
        <f t="shared" si="98"/>
        <v>127.5</v>
      </c>
    </row>
    <row r="2082" spans="1:8" x14ac:dyDescent="0.25">
      <c r="A2082" s="2" t="str">
        <f>"SCH-402"</f>
        <v>SCH-402</v>
      </c>
      <c r="B2082" s="2" t="str">
        <f>"3-Phasen-Aufbau-Schiene, 4m, schwarz "</f>
        <v xml:space="preserve">3-Phasen-Aufbau-Schiene, 4m, schwarz </v>
      </c>
      <c r="C2082" s="16">
        <v>127.5</v>
      </c>
      <c r="D2082" s="11">
        <v>51</v>
      </c>
      <c r="E2082" s="7">
        <f t="shared" si="92"/>
        <v>1</v>
      </c>
      <c r="F2082" s="22" t="str">
        <f>IF(ISERROR(VLOOKUP($A2082,#REF!,3,0)),"x",VLOOKUP($A2082,#REF!,3,FALSE))</f>
        <v>x</v>
      </c>
      <c r="G2082" s="9">
        <f t="shared" si="97"/>
        <v>1</v>
      </c>
      <c r="H2082" s="13">
        <f t="shared" si="98"/>
        <v>127.5</v>
      </c>
    </row>
    <row r="2083" spans="1:8" x14ac:dyDescent="0.25">
      <c r="A2083" s="2" t="str">
        <f>"SCH-407"</f>
        <v>SCH-407</v>
      </c>
      <c r="B2083" s="2" t="str">
        <f>"3-Phasen-Aufbau-Schiene, 4m, alu-silber-eloxiert"</f>
        <v>3-Phasen-Aufbau-Schiene, 4m, alu-silber-eloxiert</v>
      </c>
      <c r="C2083" s="16">
        <v>127.5</v>
      </c>
      <c r="D2083" s="11">
        <v>51</v>
      </c>
      <c r="E2083" s="7">
        <f t="shared" si="92"/>
        <v>1</v>
      </c>
      <c r="F2083" s="22" t="str">
        <f>IF(ISERROR(VLOOKUP($A2083,#REF!,3,0)),"x",VLOOKUP($A2083,#REF!,3,FALSE))</f>
        <v>x</v>
      </c>
      <c r="G2083" s="9">
        <f t="shared" si="97"/>
        <v>1</v>
      </c>
      <c r="H2083" s="13">
        <f t="shared" si="98"/>
        <v>127.5</v>
      </c>
    </row>
    <row r="2084" spans="1:8" x14ac:dyDescent="0.25">
      <c r="A2084" s="2" t="str">
        <f>"SCH-6207"</f>
        <v>SCH-6207</v>
      </c>
      <c r="B2084" s="2" t="str">
        <f>"Seilaufhängung, für SCH-075x, Länge 6200mm, höhenverstellbar"</f>
        <v>Seilaufhängung, für SCH-075x, Länge 6200mm, höhenverstellbar</v>
      </c>
      <c r="C2084" s="16">
        <v>12.5</v>
      </c>
      <c r="D2084" s="11">
        <v>52</v>
      </c>
      <c r="E2084" s="7">
        <f t="shared" si="92"/>
        <v>1</v>
      </c>
      <c r="F2084" s="22" t="str">
        <f>IF(ISERROR(VLOOKUP($A2084,#REF!,3,0)),"x",VLOOKUP($A2084,#REF!,3,FALSE))</f>
        <v>x</v>
      </c>
      <c r="G2084" s="9">
        <f t="shared" si="97"/>
        <v>1</v>
      </c>
      <c r="H2084" s="13">
        <f t="shared" si="98"/>
        <v>12.5</v>
      </c>
    </row>
    <row r="2085" spans="1:8" x14ac:dyDescent="0.25">
      <c r="A2085" s="2" t="str">
        <f>"SCH-621N"</f>
        <v>SCH-621N</v>
      </c>
      <c r="B2085" s="2" t="str">
        <f>"3-Phasen-Stromschiene, für Einbau 2m, verkehrsweiß "</f>
        <v xml:space="preserve">3-Phasen-Stromschiene, für Einbau 2m, verkehrsweiß </v>
      </c>
      <c r="C2085" s="16">
        <v>142.5</v>
      </c>
      <c r="D2085" s="11">
        <v>63</v>
      </c>
      <c r="E2085" s="7">
        <f t="shared" si="92"/>
        <v>1</v>
      </c>
      <c r="F2085" s="22" t="str">
        <f>IF(ISERROR(VLOOKUP($A2085,#REF!,3,0)),"x",VLOOKUP($A2085,#REF!,3,FALSE))</f>
        <v>x</v>
      </c>
      <c r="G2085" s="9">
        <f t="shared" si="97"/>
        <v>1</v>
      </c>
      <c r="H2085" s="13">
        <f t="shared" si="98"/>
        <v>142.5</v>
      </c>
    </row>
    <row r="2086" spans="1:8" x14ac:dyDescent="0.25">
      <c r="A2086" s="2" t="str">
        <f>"SCH-622"</f>
        <v>SCH-622</v>
      </c>
      <c r="B2086" s="2" t="str">
        <f>"3-Phasen-Stromschiene, für Einbau 2m, schwarz "</f>
        <v xml:space="preserve">3-Phasen-Stromschiene, für Einbau 2m, schwarz </v>
      </c>
      <c r="C2086" s="16">
        <v>142.5</v>
      </c>
      <c r="D2086" s="11">
        <v>63</v>
      </c>
      <c r="E2086" s="7">
        <f t="shared" si="92"/>
        <v>1</v>
      </c>
      <c r="F2086" s="22" t="str">
        <f>IF(ISERROR(VLOOKUP($A2086,#REF!,3,0)),"x",VLOOKUP($A2086,#REF!,3,FALSE))</f>
        <v>x</v>
      </c>
      <c r="G2086" s="9">
        <f t="shared" si="97"/>
        <v>1</v>
      </c>
      <c r="H2086" s="13">
        <f t="shared" si="98"/>
        <v>142.5</v>
      </c>
    </row>
    <row r="2087" spans="1:8" x14ac:dyDescent="0.25">
      <c r="A2087" s="2" t="str">
        <f>"SCH-631N"</f>
        <v>SCH-631N</v>
      </c>
      <c r="B2087" s="2" t="str">
        <f>"3-Phasen-Stromschiene, für Einbau 3m, verkehrsweiß "</f>
        <v xml:space="preserve">3-Phasen-Stromschiene, für Einbau 3m, verkehrsweiß </v>
      </c>
      <c r="C2087" s="16">
        <v>202.5</v>
      </c>
      <c r="D2087" s="11">
        <v>63</v>
      </c>
      <c r="E2087" s="7">
        <f t="shared" si="92"/>
        <v>1</v>
      </c>
      <c r="F2087" s="22" t="str">
        <f>IF(ISERROR(VLOOKUP($A2087,#REF!,3,0)),"x",VLOOKUP($A2087,#REF!,3,FALSE))</f>
        <v>x</v>
      </c>
      <c r="G2087" s="9">
        <f t="shared" si="97"/>
        <v>1</v>
      </c>
      <c r="H2087" s="13">
        <f t="shared" si="98"/>
        <v>202.5</v>
      </c>
    </row>
    <row r="2088" spans="1:8" x14ac:dyDescent="0.25">
      <c r="A2088" s="2" t="str">
        <f>"SCH-632"</f>
        <v>SCH-632</v>
      </c>
      <c r="B2088" s="2" t="str">
        <f>"3-Phasen-Stromschiene, für Einbau 3m, schwarz "</f>
        <v xml:space="preserve">3-Phasen-Stromschiene, für Einbau 3m, schwarz </v>
      </c>
      <c r="C2088" s="16">
        <v>202.5</v>
      </c>
      <c r="D2088" s="11">
        <v>63</v>
      </c>
      <c r="E2088" s="7">
        <f t="shared" si="92"/>
        <v>1</v>
      </c>
      <c r="F2088" s="22" t="str">
        <f>IF(ISERROR(VLOOKUP($A2088,#REF!,3,0)),"x",VLOOKUP($A2088,#REF!,3,FALSE))</f>
        <v>x</v>
      </c>
      <c r="G2088" s="9">
        <f t="shared" si="97"/>
        <v>1</v>
      </c>
      <c r="H2088" s="13">
        <f t="shared" si="98"/>
        <v>202.5</v>
      </c>
    </row>
    <row r="2089" spans="1:8" x14ac:dyDescent="0.25">
      <c r="A2089" s="2" t="str">
        <f>"SCH-6410"</f>
        <v>SCH-6410</v>
      </c>
      <c r="B2089" s="2" t="str">
        <f>"Seilaufhängung, Länge 1500mm, höhenverstellbar"</f>
        <v>Seilaufhängung, Länge 1500mm, höhenverstellbar</v>
      </c>
      <c r="C2089" s="16">
        <v>11.75</v>
      </c>
      <c r="D2089" s="11">
        <v>52</v>
      </c>
      <c r="E2089" s="7">
        <f t="shared" si="92"/>
        <v>1</v>
      </c>
      <c r="F2089" s="22" t="str">
        <f>IF(ISERROR(VLOOKUP($A2089,#REF!,3,0)),"x",VLOOKUP($A2089,#REF!,3,FALSE))</f>
        <v>x</v>
      </c>
      <c r="G2089" s="9">
        <f t="shared" si="97"/>
        <v>1</v>
      </c>
      <c r="H2089" s="13">
        <f t="shared" si="98"/>
        <v>11.75</v>
      </c>
    </row>
    <row r="2090" spans="1:8" x14ac:dyDescent="0.25">
      <c r="A2090" s="2" t="str">
        <f>"SCH-641N"</f>
        <v>SCH-641N</v>
      </c>
      <c r="B2090" s="2" t="str">
        <f>"3-Phasen-Stromschiene, für Einbau 4m, verkehrsweiß "</f>
        <v xml:space="preserve">3-Phasen-Stromschiene, für Einbau 4m, verkehrsweiß </v>
      </c>
      <c r="C2090" s="16">
        <v>267.5</v>
      </c>
      <c r="D2090" s="11">
        <v>63</v>
      </c>
      <c r="E2090" s="7">
        <f t="shared" si="92"/>
        <v>1</v>
      </c>
      <c r="F2090" s="22" t="str">
        <f>IF(ISERROR(VLOOKUP($A2090,#REF!,3,0)),"x",VLOOKUP($A2090,#REF!,3,FALSE))</f>
        <v>x</v>
      </c>
      <c r="G2090" s="9">
        <f t="shared" si="97"/>
        <v>1</v>
      </c>
      <c r="H2090" s="13">
        <f t="shared" si="98"/>
        <v>267.5</v>
      </c>
    </row>
    <row r="2091" spans="1:8" x14ac:dyDescent="0.25">
      <c r="A2091" s="2" t="str">
        <f>"SCH-642"</f>
        <v>SCH-642</v>
      </c>
      <c r="B2091" s="2" t="str">
        <f>"3-Phasen-Stromschiene, für Einbau 4m, schwarz "</f>
        <v xml:space="preserve">3-Phasen-Stromschiene, für Einbau 4m, schwarz </v>
      </c>
      <c r="C2091" s="16">
        <v>267.5</v>
      </c>
      <c r="D2091" s="11">
        <v>63</v>
      </c>
      <c r="E2091" s="7">
        <f t="shared" si="92"/>
        <v>1</v>
      </c>
      <c r="F2091" s="22" t="str">
        <f>IF(ISERROR(VLOOKUP($A2091,#REF!,3,0)),"x",VLOOKUP($A2091,#REF!,3,FALSE))</f>
        <v>x</v>
      </c>
      <c r="G2091" s="9">
        <f t="shared" si="97"/>
        <v>1</v>
      </c>
      <c r="H2091" s="13">
        <f t="shared" si="98"/>
        <v>267.5</v>
      </c>
    </row>
    <row r="2092" spans="1:8" x14ac:dyDescent="0.25">
      <c r="A2092" s="2" t="str">
        <f>"SCH-6430"</f>
        <v>SCH-6430</v>
      </c>
      <c r="B2092" s="2" t="str">
        <f>"Seilaufhängung, Länge 3000mm, höhenverstellbar"</f>
        <v>Seilaufhängung, Länge 3000mm, höhenverstellbar</v>
      </c>
      <c r="C2092" s="16">
        <v>12.25</v>
      </c>
      <c r="D2092" s="11">
        <v>52</v>
      </c>
      <c r="E2092" s="7">
        <f t="shared" si="92"/>
        <v>1</v>
      </c>
      <c r="F2092" s="22" t="str">
        <f>IF(ISERROR(VLOOKUP($A2092,#REF!,3,0)),"x",VLOOKUP($A2092,#REF!,3,FALSE))</f>
        <v>x</v>
      </c>
      <c r="G2092" s="9">
        <f t="shared" si="97"/>
        <v>1</v>
      </c>
      <c r="H2092" s="13">
        <f t="shared" si="98"/>
        <v>12.25</v>
      </c>
    </row>
    <row r="2093" spans="1:8" x14ac:dyDescent="0.25">
      <c r="A2093" s="2" t="str">
        <f>"SCH-6720"</f>
        <v>SCH-6720</v>
      </c>
      <c r="B2093" s="2" t="str">
        <f>"Stoßstellenhalteclip, 100mm für Haken / Schlaufen"</f>
        <v>Stoßstellenhalteclip, 100mm für Haken / Schlaufen</v>
      </c>
      <c r="C2093" s="16">
        <v>10</v>
      </c>
      <c r="D2093" s="11">
        <v>54</v>
      </c>
      <c r="E2093" s="7">
        <f t="shared" si="92"/>
        <v>1</v>
      </c>
      <c r="F2093" s="22" t="str">
        <f>IF(ISERROR(VLOOKUP($A2093,#REF!,3,0)),"x",VLOOKUP($A2093,#REF!,3,FALSE))</f>
        <v>x</v>
      </c>
      <c r="G2093" s="9">
        <f t="shared" si="97"/>
        <v>1</v>
      </c>
      <c r="H2093" s="13">
        <f t="shared" si="98"/>
        <v>10</v>
      </c>
    </row>
    <row r="2094" spans="1:8" x14ac:dyDescent="0.25">
      <c r="A2094" s="2" t="str">
        <f>"SCH-6790"</f>
        <v>SCH-6790</v>
      </c>
      <c r="B2094" s="2" t="str">
        <f>"Seilaufhängung mit Schnellabhänger für Halteclip "</f>
        <v xml:space="preserve">Seilaufhängung mit Schnellabhänger für Halteclip </v>
      </c>
      <c r="C2094" s="16">
        <v>20</v>
      </c>
      <c r="D2094" s="11">
        <v>52</v>
      </c>
      <c r="E2094" s="7">
        <f t="shared" si="92"/>
        <v>1</v>
      </c>
      <c r="F2094" s="22" t="str">
        <f>IF(ISERROR(VLOOKUP($A2094,#REF!,3,0)),"x",VLOOKUP($A2094,#REF!,3,FALSE))</f>
        <v>x</v>
      </c>
      <c r="G2094" s="9">
        <f t="shared" si="97"/>
        <v>1</v>
      </c>
      <c r="H2094" s="13">
        <f t="shared" si="98"/>
        <v>20</v>
      </c>
    </row>
    <row r="2095" spans="1:8" x14ac:dyDescent="0.25">
      <c r="A2095" s="2" t="str">
        <f>"SCH-6970"</f>
        <v>SCH-6970</v>
      </c>
      <c r="B2095" s="2" t="str">
        <f>"Halteclip, 50mm für Haken / Schlaufen"</f>
        <v>Halteclip, 50mm für Haken / Schlaufen</v>
      </c>
      <c r="C2095" s="16">
        <v>12.5</v>
      </c>
      <c r="D2095" s="11">
        <v>54</v>
      </c>
      <c r="E2095" s="7">
        <f t="shared" si="92"/>
        <v>1</v>
      </c>
      <c r="F2095" s="22" t="str">
        <f>IF(ISERROR(VLOOKUP($A2095,#REF!,3,0)),"x",VLOOKUP($A2095,#REF!,3,FALSE))</f>
        <v>x</v>
      </c>
      <c r="G2095" s="9">
        <f t="shared" si="97"/>
        <v>1</v>
      </c>
      <c r="H2095" s="13">
        <f t="shared" si="98"/>
        <v>12.5</v>
      </c>
    </row>
    <row r="2096" spans="1:8" x14ac:dyDescent="0.25">
      <c r="A2096" s="2" t="str">
        <f>"SCH-6980"</f>
        <v>SCH-6980</v>
      </c>
      <c r="B2096" s="2" t="str">
        <f>"Pendelclip, für Abhängungen durch Seil- oder Rohrpendelaufhängung"</f>
        <v>Pendelclip, für Abhängungen durch Seil- oder Rohrpendelaufhängung</v>
      </c>
      <c r="C2096" s="16">
        <v>5</v>
      </c>
      <c r="D2096" s="11">
        <v>54</v>
      </c>
      <c r="E2096" s="7">
        <f t="shared" si="92"/>
        <v>1</v>
      </c>
      <c r="F2096" s="22" t="str">
        <f>IF(ISERROR(VLOOKUP($A2096,#REF!,3,0)),"x",VLOOKUP($A2096,#REF!,3,FALSE))</f>
        <v>x</v>
      </c>
      <c r="G2096" s="9">
        <f t="shared" si="97"/>
        <v>1</v>
      </c>
      <c r="H2096" s="13">
        <f t="shared" si="98"/>
        <v>5</v>
      </c>
    </row>
    <row r="2097" spans="1:8" x14ac:dyDescent="0.25">
      <c r="A2097" s="2" t="str">
        <f>"SCH-6990"</f>
        <v>SCH-6990</v>
      </c>
      <c r="B2097" s="2" t="str">
        <f>"Stoßstellenverbinder, für Abhängung durch Seil- oder Rohrpendelaufhängung"</f>
        <v>Stoßstellenverbinder, für Abhängung durch Seil- oder Rohrpendelaufhängung</v>
      </c>
      <c r="C2097" s="16">
        <v>7.5</v>
      </c>
      <c r="D2097" s="11">
        <v>54</v>
      </c>
      <c r="E2097" s="7">
        <f t="shared" si="92"/>
        <v>1</v>
      </c>
      <c r="F2097" s="22" t="str">
        <f>IF(ISERROR(VLOOKUP($A2097,#REF!,3,0)),"x",VLOOKUP($A2097,#REF!,3,FALSE))</f>
        <v>x</v>
      </c>
      <c r="G2097" s="9">
        <f t="shared" si="97"/>
        <v>1</v>
      </c>
      <c r="H2097" s="13">
        <f t="shared" si="98"/>
        <v>7.5</v>
      </c>
    </row>
    <row r="2098" spans="1:8" x14ac:dyDescent="0.25">
      <c r="A2098" s="2" t="str">
        <f>"SCH-9051N"</f>
        <v>SCH-9051N</v>
      </c>
      <c r="B2098" s="2" t="str">
        <f>"Pendelaufhängung, 600mm mit Baldachin, verkehrsweiß "</f>
        <v xml:space="preserve">Pendelaufhängung, 600mm mit Baldachin, verkehrsweiß </v>
      </c>
      <c r="C2098" s="16">
        <v>25</v>
      </c>
      <c r="D2098" s="11">
        <v>53</v>
      </c>
      <c r="E2098" s="7">
        <f t="shared" si="92"/>
        <v>1</v>
      </c>
      <c r="F2098" s="22" t="str">
        <f>IF(ISERROR(VLOOKUP($A2098,#REF!,3,0)),"x",VLOOKUP($A2098,#REF!,3,FALSE))</f>
        <v>x</v>
      </c>
      <c r="G2098" s="9">
        <f t="shared" si="97"/>
        <v>1</v>
      </c>
      <c r="H2098" s="13">
        <f t="shared" si="98"/>
        <v>25</v>
      </c>
    </row>
    <row r="2099" spans="1:8" x14ac:dyDescent="0.25">
      <c r="A2099" s="2" t="str">
        <f>"SCH-9052"</f>
        <v>SCH-9052</v>
      </c>
      <c r="B2099" s="2" t="str">
        <f>"Pendelaufhängung, 600mm mit Baldachin, schwarz "</f>
        <v xml:space="preserve">Pendelaufhängung, 600mm mit Baldachin, schwarz </v>
      </c>
      <c r="C2099" s="16">
        <v>25</v>
      </c>
      <c r="D2099" s="11">
        <v>53</v>
      </c>
      <c r="E2099" s="7">
        <f t="shared" si="92"/>
        <v>1</v>
      </c>
      <c r="F2099" s="22" t="str">
        <f>IF(ISERROR(VLOOKUP($A2099,#REF!,3,0)),"x",VLOOKUP($A2099,#REF!,3,FALSE))</f>
        <v>x</v>
      </c>
      <c r="G2099" s="9">
        <f t="shared" si="97"/>
        <v>1</v>
      </c>
      <c r="H2099" s="13">
        <f t="shared" si="98"/>
        <v>25</v>
      </c>
    </row>
    <row r="2100" spans="1:8" x14ac:dyDescent="0.25">
      <c r="A2100" s="2" t="str">
        <f>"SCH-9057"</f>
        <v>SCH-9057</v>
      </c>
      <c r="B2100" s="2" t="str">
        <f>"Pendelaufhängung, 600mm mit Baldachin, silber"</f>
        <v>Pendelaufhängung, 600mm mit Baldachin, silber</v>
      </c>
      <c r="C2100" s="16">
        <v>40</v>
      </c>
      <c r="D2100" s="11">
        <v>53</v>
      </c>
      <c r="E2100" s="7">
        <f t="shared" si="92"/>
        <v>1</v>
      </c>
      <c r="F2100" s="22" t="str">
        <f>IF(ISERROR(VLOOKUP($A2100,#REF!,3,0)),"x",VLOOKUP($A2100,#REF!,3,FALSE))</f>
        <v>x</v>
      </c>
      <c r="G2100" s="9">
        <f t="shared" si="97"/>
        <v>1</v>
      </c>
      <c r="H2100" s="13">
        <f t="shared" si="98"/>
        <v>40</v>
      </c>
    </row>
    <row r="2101" spans="1:8" x14ac:dyDescent="0.25">
      <c r="A2101" s="2" t="str">
        <f>"SCH-9061N"</f>
        <v>SCH-9061N</v>
      </c>
      <c r="B2101" s="2" t="str">
        <f>"Pendelaufhängung, 1.200mm mit Baldachin, verkehrsweiß "</f>
        <v xml:space="preserve">Pendelaufhängung, 1.200mm mit Baldachin, verkehrsweiß </v>
      </c>
      <c r="C2101" s="16">
        <v>32.5</v>
      </c>
      <c r="D2101" s="11">
        <v>53</v>
      </c>
      <c r="E2101" s="7">
        <f t="shared" si="92"/>
        <v>1</v>
      </c>
      <c r="F2101" s="22" t="str">
        <f>IF(ISERROR(VLOOKUP($A2101,#REF!,3,0)),"x",VLOOKUP($A2101,#REF!,3,FALSE))</f>
        <v>x</v>
      </c>
      <c r="G2101" s="9">
        <f t="shared" si="97"/>
        <v>1</v>
      </c>
      <c r="H2101" s="13">
        <f t="shared" si="98"/>
        <v>32.5</v>
      </c>
    </row>
    <row r="2102" spans="1:8" x14ac:dyDescent="0.25">
      <c r="A2102" s="2" t="str">
        <f>"SCH-9062"</f>
        <v>SCH-9062</v>
      </c>
      <c r="B2102" s="2" t="str">
        <f>"Pendelaufhängung, 1.200mm mit Baldachin, schwarz "</f>
        <v xml:space="preserve">Pendelaufhängung, 1.200mm mit Baldachin, schwarz </v>
      </c>
      <c r="C2102" s="16">
        <v>32.5</v>
      </c>
      <c r="D2102" s="11">
        <v>53</v>
      </c>
      <c r="E2102" s="7">
        <f t="shared" si="92"/>
        <v>1</v>
      </c>
      <c r="F2102" s="22" t="str">
        <f>IF(ISERROR(VLOOKUP($A2102,#REF!,3,0)),"x",VLOOKUP($A2102,#REF!,3,FALSE))</f>
        <v>x</v>
      </c>
      <c r="G2102" s="9">
        <f t="shared" si="97"/>
        <v>1</v>
      </c>
      <c r="H2102" s="13">
        <f t="shared" si="98"/>
        <v>32.5</v>
      </c>
    </row>
    <row r="2103" spans="1:8" x14ac:dyDescent="0.25">
      <c r="A2103" s="2" t="str">
        <f>"SCH-9067"</f>
        <v>SCH-9067</v>
      </c>
      <c r="B2103" s="2" t="str">
        <f>"Pendelaufhängung, 1.200mm mit Baldachin, silber"</f>
        <v>Pendelaufhängung, 1.200mm mit Baldachin, silber</v>
      </c>
      <c r="C2103" s="16">
        <v>47.5</v>
      </c>
      <c r="D2103" s="11">
        <v>53</v>
      </c>
      <c r="E2103" s="7">
        <f t="shared" si="92"/>
        <v>1</v>
      </c>
      <c r="F2103" s="22" t="str">
        <f>IF(ISERROR(VLOOKUP($A2103,#REF!,3,0)),"x",VLOOKUP($A2103,#REF!,3,FALSE))</f>
        <v>x</v>
      </c>
      <c r="G2103" s="9">
        <f t="shared" si="97"/>
        <v>1</v>
      </c>
      <c r="H2103" s="13">
        <f t="shared" si="98"/>
        <v>47.5</v>
      </c>
    </row>
    <row r="2104" spans="1:8" x14ac:dyDescent="0.25">
      <c r="A2104" s="2" t="str">
        <f>"SCH-9802-7"</f>
        <v>SCH-9802-7</v>
      </c>
      <c r="B2104" s="2" t="str">
        <f>"ONETRACK Deckenclip für Rasterdecken, vernickelt"</f>
        <v>ONETRACK Deckenclip für Rasterdecken, vernickelt</v>
      </c>
      <c r="C2104" s="16">
        <v>7.5</v>
      </c>
      <c r="D2104" s="11">
        <v>61</v>
      </c>
      <c r="E2104" s="7">
        <f t="shared" si="92"/>
        <v>1</v>
      </c>
      <c r="F2104" s="22" t="str">
        <f>IF(ISERROR(VLOOKUP($A2104,#REF!,3,0)),"x",VLOOKUP($A2104,#REF!,3,FALSE))</f>
        <v>x</v>
      </c>
      <c r="G2104" s="9">
        <f t="shared" si="97"/>
        <v>1</v>
      </c>
      <c r="H2104" s="13">
        <f t="shared" si="98"/>
        <v>7.5</v>
      </c>
    </row>
    <row r="2105" spans="1:8" x14ac:dyDescent="0.25">
      <c r="A2105" s="2" t="str">
        <f>"SCH-9817-1"</f>
        <v>SCH-9817-1</v>
      </c>
      <c r="B2105" s="2" t="str">
        <f>"ONETRACK Deckenclip für Rasterdecken, weiß"</f>
        <v>ONETRACK Deckenclip für Rasterdecken, weiß</v>
      </c>
      <c r="C2105" s="16">
        <v>7.5</v>
      </c>
      <c r="D2105" s="11">
        <v>61</v>
      </c>
      <c r="E2105" s="7">
        <f t="shared" si="92"/>
        <v>1</v>
      </c>
      <c r="F2105" s="22" t="str">
        <f>IF(ISERROR(VLOOKUP($A2105,#REF!,3,0)),"x",VLOOKUP($A2105,#REF!,3,FALSE))</f>
        <v>x</v>
      </c>
      <c r="G2105" s="9">
        <f t="shared" si="97"/>
        <v>1</v>
      </c>
      <c r="H2105" s="13">
        <f t="shared" si="98"/>
        <v>7.5</v>
      </c>
    </row>
    <row r="2106" spans="1:8" x14ac:dyDescent="0.25">
      <c r="A2106" s="2" t="str">
        <f>"SCH-9818-2"</f>
        <v>SCH-9818-2</v>
      </c>
      <c r="B2106" s="2" t="str">
        <f>"ONETRACK Deckenclip für Rasterdecken, schwarz"</f>
        <v>ONETRACK Deckenclip für Rasterdecken, schwarz</v>
      </c>
      <c r="C2106" s="16">
        <v>7.5</v>
      </c>
      <c r="D2106" s="11">
        <v>61</v>
      </c>
      <c r="E2106" s="7">
        <f t="shared" si="92"/>
        <v>1</v>
      </c>
      <c r="F2106" s="22" t="str">
        <f>IF(ISERROR(VLOOKUP($A2106,#REF!,3,0)),"x",VLOOKUP($A2106,#REF!,3,FALSE))</f>
        <v>x</v>
      </c>
      <c r="G2106" s="9">
        <f t="shared" si="97"/>
        <v>1</v>
      </c>
      <c r="H2106" s="13">
        <f t="shared" si="98"/>
        <v>7.5</v>
      </c>
    </row>
    <row r="2107" spans="1:8" x14ac:dyDescent="0.25">
      <c r="A2107" s="2" t="str">
        <f>"SCH-M131N"</f>
        <v>SCH-M131N</v>
      </c>
      <c r="B2107" s="2" t="str">
        <f>"Stromschienen Clip, 30mm für Rohrpendelaufhängung, verkehrsweiß"</f>
        <v>Stromschienen Clip, 30mm für Rohrpendelaufhängung, verkehrsweiß</v>
      </c>
      <c r="C2107" s="16">
        <v>5</v>
      </c>
      <c r="D2107" s="11">
        <v>53</v>
      </c>
      <c r="E2107" s="7">
        <f t="shared" si="92"/>
        <v>1</v>
      </c>
      <c r="F2107" s="22" t="str">
        <f>IF(ISERROR(VLOOKUP($A2107,#REF!,3,0)),"x",VLOOKUP($A2107,#REF!,3,FALSE))</f>
        <v>x</v>
      </c>
      <c r="G2107" s="9">
        <f t="shared" si="97"/>
        <v>1</v>
      </c>
      <c r="H2107" s="13">
        <f t="shared" si="98"/>
        <v>5</v>
      </c>
    </row>
    <row r="2108" spans="1:8" x14ac:dyDescent="0.25">
      <c r="A2108" s="2" t="str">
        <f>"SCH-M132"</f>
        <v>SCH-M132</v>
      </c>
      <c r="B2108" s="2" t="str">
        <f>"Stromschienen Clip, 30mm für Rohrpendelaufhängung, schwarz"</f>
        <v>Stromschienen Clip, 30mm für Rohrpendelaufhängung, schwarz</v>
      </c>
      <c r="C2108" s="16">
        <v>5</v>
      </c>
      <c r="D2108" s="11">
        <v>53</v>
      </c>
      <c r="E2108" s="7">
        <f t="shared" si="92"/>
        <v>1</v>
      </c>
      <c r="F2108" s="22" t="str">
        <f>IF(ISERROR(VLOOKUP($A2108,#REF!,3,0)),"x",VLOOKUP($A2108,#REF!,3,FALSE))</f>
        <v>x</v>
      </c>
      <c r="G2108" s="9">
        <f t="shared" si="97"/>
        <v>1</v>
      </c>
      <c r="H2108" s="13">
        <f t="shared" si="98"/>
        <v>5</v>
      </c>
    </row>
    <row r="2109" spans="1:8" x14ac:dyDescent="0.25">
      <c r="A2109" s="2" t="str">
        <f>"SCH-M137"</f>
        <v>SCH-M137</v>
      </c>
      <c r="B2109" s="2" t="str">
        <f>"Stromschienen Clip, 30mm für Rohrpendelaufhängung, vernickelt"</f>
        <v>Stromschienen Clip, 30mm für Rohrpendelaufhängung, vernickelt</v>
      </c>
      <c r="C2109" s="16">
        <v>5</v>
      </c>
      <c r="D2109" s="11">
        <v>53</v>
      </c>
      <c r="E2109" s="7">
        <f t="shared" si="92"/>
        <v>1</v>
      </c>
      <c r="F2109" s="22" t="str">
        <f>IF(ISERROR(VLOOKUP($A2109,#REF!,3,0)),"x",VLOOKUP($A2109,#REF!,3,FALSE))</f>
        <v>x</v>
      </c>
      <c r="G2109" s="9">
        <f t="shared" si="97"/>
        <v>1</v>
      </c>
      <c r="H2109" s="13">
        <f t="shared" si="98"/>
        <v>5</v>
      </c>
    </row>
    <row r="2110" spans="1:8" x14ac:dyDescent="0.25">
      <c r="A2110" s="2" t="str">
        <f>"SDR-100WW2D-N"</f>
        <v>SDR-100WW2D-N</v>
      </c>
      <c r="B2110" s="2" t="str">
        <f>"SDR Ringförmige Decken-/Pendelleuchte, LED 95W, 3000K, schwarz-matt"</f>
        <v>SDR Ringförmige Decken-/Pendelleuchte, LED 95W, 3000K, schwarz-matt</v>
      </c>
      <c r="C2110" s="16">
        <v>1100</v>
      </c>
      <c r="D2110" s="11">
        <v>139</v>
      </c>
      <c r="E2110" s="7">
        <f t="shared" si="92"/>
        <v>1</v>
      </c>
      <c r="F2110" s="22" t="str">
        <f>IF(ISERROR(VLOOKUP($A2110,#REF!,3,0)),"x",VLOOKUP($A2110,#REF!,3,FALSE))</f>
        <v>x</v>
      </c>
      <c r="G2110" s="9">
        <f t="shared" si="97"/>
        <v>1</v>
      </c>
      <c r="H2110" s="13">
        <f t="shared" si="98"/>
        <v>1100</v>
      </c>
    </row>
    <row r="2111" spans="1:8" x14ac:dyDescent="0.25">
      <c r="A2111" s="2" t="str">
        <f>"SDR-50WW2D-N"</f>
        <v>SDR-50WW2D-N</v>
      </c>
      <c r="B2111" s="2" t="str">
        <f>"SDR, Ringförmige Decken-/Pendelleuchte, LED 50W, 3000K, schwarz-matt"</f>
        <v>SDR, Ringförmige Decken-/Pendelleuchte, LED 50W, 3000K, schwarz-matt</v>
      </c>
      <c r="C2111" s="16">
        <v>650</v>
      </c>
      <c r="D2111" s="11">
        <v>139</v>
      </c>
      <c r="E2111" s="7">
        <f t="shared" si="92"/>
        <v>1</v>
      </c>
      <c r="F2111" s="22" t="str">
        <f>IF(ISERROR(VLOOKUP($A2111,#REF!,3,0)),"x",VLOOKUP($A2111,#REF!,3,FALSE))</f>
        <v>x</v>
      </c>
      <c r="G2111" s="9">
        <f t="shared" si="97"/>
        <v>1</v>
      </c>
      <c r="H2111" s="13">
        <f t="shared" si="98"/>
        <v>650</v>
      </c>
    </row>
    <row r="2112" spans="1:8" x14ac:dyDescent="0.25">
      <c r="A2112" s="2" t="str">
        <f>"SDR-72WW2D-N"</f>
        <v>SDR-72WW2D-N</v>
      </c>
      <c r="B2112" s="2" t="str">
        <f>"SDR Ringförmige Decken-/Pendelleuchte, LED 60W, 3000K, schwarz-matt"</f>
        <v>SDR Ringförmige Decken-/Pendelleuchte, LED 60W, 3000K, schwarz-matt</v>
      </c>
      <c r="C2112" s="16">
        <v>675</v>
      </c>
      <c r="D2112" s="11">
        <v>139</v>
      </c>
      <c r="E2112" s="7">
        <f t="shared" si="92"/>
        <v>1</v>
      </c>
      <c r="F2112" s="22" t="str">
        <f>IF(ISERROR(VLOOKUP($A2112,#REF!,3,0)),"x",VLOOKUP($A2112,#REF!,3,FALSE))</f>
        <v>x</v>
      </c>
      <c r="G2112" s="9">
        <f t="shared" si="97"/>
        <v>1</v>
      </c>
      <c r="H2112" s="13">
        <f t="shared" si="98"/>
        <v>675</v>
      </c>
    </row>
    <row r="2113" spans="1:8" x14ac:dyDescent="0.25">
      <c r="A2113" s="2" t="str">
        <f>"SERVPOINT1"</f>
        <v>SERVPOINT1</v>
      </c>
      <c r="B2113" s="2" t="str">
        <f>"5301GR Server Point Standard mit 2 Steckdosen"</f>
        <v>5301GR Server Point Standard mit 2 Steckdosen</v>
      </c>
      <c r="C2113" s="16">
        <v>710</v>
      </c>
      <c r="D2113" s="11">
        <v>345</v>
      </c>
      <c r="E2113" s="7">
        <f t="shared" si="92"/>
        <v>1</v>
      </c>
      <c r="F2113" s="22" t="str">
        <f>IF(ISERROR(VLOOKUP($A2113,#REF!,3,0)),"x",VLOOKUP($A2113,#REF!,3,FALSE))</f>
        <v>x</v>
      </c>
      <c r="G2113" s="9">
        <f t="shared" si="97"/>
        <v>1</v>
      </c>
      <c r="H2113" s="13">
        <f t="shared" si="98"/>
        <v>710</v>
      </c>
    </row>
    <row r="2114" spans="1:8" x14ac:dyDescent="0.25">
      <c r="A2114" s="2" t="str">
        <f>"SERVPOINT2"</f>
        <v>SERVPOINT2</v>
      </c>
      <c r="B2114" s="2" t="str">
        <f>"Server Point mit Sensor, 1 Steckdosen und 3,2W LED-Orientierungslicht, 4000K"</f>
        <v>Server Point mit Sensor, 1 Steckdosen und 3,2W LED-Orientierungslicht, 4000K</v>
      </c>
      <c r="C2114" s="16">
        <v>1142.5</v>
      </c>
      <c r="D2114" s="11">
        <v>345</v>
      </c>
      <c r="E2114" s="7">
        <f t="shared" si="92"/>
        <v>1</v>
      </c>
      <c r="F2114" s="22" t="str">
        <f>IF(ISERROR(VLOOKUP($A2114,#REF!,3,0)),"x",VLOOKUP($A2114,#REF!,3,FALSE))</f>
        <v>x</v>
      </c>
      <c r="G2114" s="9">
        <f t="shared" si="97"/>
        <v>1</v>
      </c>
      <c r="H2114" s="13">
        <f t="shared" si="98"/>
        <v>1142.5</v>
      </c>
    </row>
    <row r="2115" spans="1:8" x14ac:dyDescent="0.25">
      <c r="A2115" s="2" t="str">
        <f>"SERVPOINT3"</f>
        <v>SERVPOINT3</v>
      </c>
      <c r="B2115" s="2" t="str">
        <f>"Server Point mit 2 Steckdosen,  3,2W LED-Orientierungslicht, 4000K"</f>
        <v>Server Point mit 2 Steckdosen,  3,2W LED-Orientierungslicht, 4000K</v>
      </c>
      <c r="C2115" s="16">
        <v>880.5</v>
      </c>
      <c r="D2115" s="11">
        <v>345</v>
      </c>
      <c r="E2115" s="7">
        <f t="shared" si="92"/>
        <v>1</v>
      </c>
      <c r="F2115" s="22" t="str">
        <f>IF(ISERROR(VLOOKUP($A2115,#REF!,3,0)),"x",VLOOKUP($A2115,#REF!,3,FALSE))</f>
        <v>x</v>
      </c>
      <c r="G2115" s="9">
        <f t="shared" ref="G2115:G2178" si="99">IF(C2115&lt;F2115,1,IF(C2115&gt;F2115,-1,0))</f>
        <v>1</v>
      </c>
      <c r="H2115" s="13">
        <f t="shared" si="98"/>
        <v>880.5</v>
      </c>
    </row>
    <row r="2116" spans="1:8" x14ac:dyDescent="0.25">
      <c r="A2116" s="2" t="str">
        <f>"SKY-105NW6F"</f>
        <v>SKY-105NW6F</v>
      </c>
      <c r="B2116" s="2" t="str">
        <f>"SKY Mastleuchte 105W 4000K IP66 IK10 anthrazit"</f>
        <v>SKY Mastleuchte 105W 4000K IP66 IK10 anthrazit</v>
      </c>
      <c r="C2116" s="16">
        <v>617.5</v>
      </c>
      <c r="D2116" s="11">
        <v>357</v>
      </c>
      <c r="E2116" s="7">
        <f t="shared" si="92"/>
        <v>1</v>
      </c>
      <c r="F2116" s="22" t="str">
        <f>IF(ISERROR(VLOOKUP($A2116,#REF!,3,0)),"x",VLOOKUP($A2116,#REF!,3,FALSE))</f>
        <v>x</v>
      </c>
      <c r="G2116" s="9">
        <f t="shared" si="99"/>
        <v>1</v>
      </c>
      <c r="H2116" s="13">
        <f t="shared" si="98"/>
        <v>617.5</v>
      </c>
    </row>
    <row r="2117" spans="1:8" x14ac:dyDescent="0.25">
      <c r="A2117" s="2" t="str">
        <f>"SKY-140NW6F"</f>
        <v>SKY-140NW6F</v>
      </c>
      <c r="B2117" s="2" t="str">
        <f>"SKY Mastleuchte 140W 4000K IP66 IK10 anthrazit"</f>
        <v>SKY Mastleuchte 140W 4000K IP66 IK10 anthrazit</v>
      </c>
      <c r="C2117" s="16">
        <v>657.5</v>
      </c>
      <c r="D2117" s="11">
        <v>357</v>
      </c>
      <c r="E2117" s="7">
        <f t="shared" si="92"/>
        <v>1</v>
      </c>
      <c r="F2117" s="22" t="str">
        <f>IF(ISERROR(VLOOKUP($A2117,#REF!,3,0)),"x",VLOOKUP($A2117,#REF!,3,FALSE))</f>
        <v>x</v>
      </c>
      <c r="G2117" s="9">
        <f t="shared" si="99"/>
        <v>1</v>
      </c>
      <c r="H2117" s="13">
        <f t="shared" ref="H2117:H2180" si="100">IF(F2117="x",C2117,F2117)</f>
        <v>657.5</v>
      </c>
    </row>
    <row r="2118" spans="1:8" x14ac:dyDescent="0.25">
      <c r="A2118" s="2" t="str">
        <f>"SKY-35NW6F"</f>
        <v>SKY-35NW6F</v>
      </c>
      <c r="B2118" s="2" t="str">
        <f>"SKY Mastleuchte 35W 4000K IP66 IK10 anthrazit"</f>
        <v>SKY Mastleuchte 35W 4000K IP66 IK10 anthrazit</v>
      </c>
      <c r="C2118" s="16">
        <v>507.5</v>
      </c>
      <c r="D2118" s="11">
        <v>357</v>
      </c>
      <c r="E2118" s="7">
        <f t="shared" si="92"/>
        <v>1</v>
      </c>
      <c r="F2118" s="22" t="str">
        <f>IF(ISERROR(VLOOKUP($A2118,#REF!,3,0)),"x",VLOOKUP($A2118,#REF!,3,FALSE))</f>
        <v>x</v>
      </c>
      <c r="G2118" s="9">
        <f t="shared" si="99"/>
        <v>1</v>
      </c>
      <c r="H2118" s="13">
        <f t="shared" si="100"/>
        <v>507.5</v>
      </c>
    </row>
    <row r="2119" spans="1:8" x14ac:dyDescent="0.25">
      <c r="A2119" s="2" t="str">
        <f>"SKY-70NW6F"</f>
        <v>SKY-70NW6F</v>
      </c>
      <c r="B2119" s="2" t="str">
        <f>"SKY Mastleuchte 70W 4000K IP66 IK10 anthrazit"</f>
        <v>SKY Mastleuchte 70W 4000K IP66 IK10 anthrazit</v>
      </c>
      <c r="C2119" s="16">
        <v>563.5</v>
      </c>
      <c r="D2119" s="11">
        <v>357</v>
      </c>
      <c r="E2119" s="7">
        <f t="shared" si="92"/>
        <v>1</v>
      </c>
      <c r="F2119" s="22" t="str">
        <f>IF(ISERROR(VLOOKUP($A2119,#REF!,3,0)),"x",VLOOKUP($A2119,#REF!,3,FALSE))</f>
        <v>x</v>
      </c>
      <c r="G2119" s="9">
        <f t="shared" si="99"/>
        <v>1</v>
      </c>
      <c r="H2119" s="13">
        <f t="shared" si="100"/>
        <v>563.5</v>
      </c>
    </row>
    <row r="2120" spans="1:8" x14ac:dyDescent="0.25">
      <c r="A2120" s="2" t="str">
        <f>"SLC-18NW11"</f>
        <v>SLC-18NW11</v>
      </c>
      <c r="B2120" s="2" t="str">
        <f>"SLC Schienenstrahler, CoB LED, 17W, 24°, 4000K, Gehäuse weiß"</f>
        <v>SLC Schienenstrahler, CoB LED, 17W, 24°, 4000K, Gehäuse weiß</v>
      </c>
      <c r="C2120" s="16">
        <v>147.5</v>
      </c>
      <c r="D2120" s="11">
        <v>35</v>
      </c>
      <c r="E2120" s="7">
        <f t="shared" si="92"/>
        <v>1</v>
      </c>
      <c r="F2120" s="22" t="str">
        <f>IF(ISERROR(VLOOKUP($A2120,#REF!,3,0)),"x",VLOOKUP($A2120,#REF!,3,FALSE))</f>
        <v>x</v>
      </c>
      <c r="G2120" s="9">
        <f t="shared" si="99"/>
        <v>1</v>
      </c>
      <c r="H2120" s="13">
        <f t="shared" si="100"/>
        <v>147.5</v>
      </c>
    </row>
    <row r="2121" spans="1:8" x14ac:dyDescent="0.25">
      <c r="A2121" s="2" t="str">
        <f>"SLC-18NW11F"</f>
        <v>SLC-18NW11F</v>
      </c>
      <c r="B2121" s="2" t="str">
        <f>"SLC Schienenstrahler, CoB LED, 17W, 36°, 4000K, Gehäuse weiß"</f>
        <v>SLC Schienenstrahler, CoB LED, 17W, 36°, 4000K, Gehäuse weiß</v>
      </c>
      <c r="C2121" s="16">
        <v>147.5</v>
      </c>
      <c r="D2121" s="11">
        <v>35</v>
      </c>
      <c r="E2121" s="7">
        <f t="shared" si="92"/>
        <v>1</v>
      </c>
      <c r="F2121" s="22" t="str">
        <f>IF(ISERROR(VLOOKUP($A2121,#REF!,3,0)),"x",VLOOKUP($A2121,#REF!,3,FALSE))</f>
        <v>x</v>
      </c>
      <c r="G2121" s="9">
        <f t="shared" si="99"/>
        <v>1</v>
      </c>
      <c r="H2121" s="13">
        <f t="shared" si="100"/>
        <v>147.5</v>
      </c>
    </row>
    <row r="2122" spans="1:8" x14ac:dyDescent="0.25">
      <c r="A2122" s="2" t="str">
        <f>"SLC-18NW11S"</f>
        <v>SLC-18NW11S</v>
      </c>
      <c r="B2122" s="2" t="str">
        <f>"SLC Schienenstrahler, CoB LED, 17W, 15°, 4000K, Gehäuse weiß"</f>
        <v>SLC Schienenstrahler, CoB LED, 17W, 15°, 4000K, Gehäuse weiß</v>
      </c>
      <c r="C2122" s="16">
        <v>147.5</v>
      </c>
      <c r="D2122" s="11">
        <v>35</v>
      </c>
      <c r="E2122" s="7">
        <f t="shared" si="92"/>
        <v>1</v>
      </c>
      <c r="F2122" s="22" t="str">
        <f>IF(ISERROR(VLOOKUP($A2122,#REF!,3,0)),"x",VLOOKUP($A2122,#REF!,3,FALSE))</f>
        <v>x</v>
      </c>
      <c r="G2122" s="9">
        <f t="shared" si="99"/>
        <v>1</v>
      </c>
      <c r="H2122" s="13">
        <f t="shared" si="100"/>
        <v>147.5</v>
      </c>
    </row>
    <row r="2123" spans="1:8" x14ac:dyDescent="0.25">
      <c r="A2123" s="2" t="str">
        <f>"SLC-18NW12"</f>
        <v>SLC-18NW12</v>
      </c>
      <c r="B2123" s="2" t="str">
        <f>"SLC Schienenstrahler, CoB LED, 17W, 24°, 4000K, Gehäuse schwarz"</f>
        <v>SLC Schienenstrahler, CoB LED, 17W, 24°, 4000K, Gehäuse schwarz</v>
      </c>
      <c r="C2123" s="16">
        <v>147.5</v>
      </c>
      <c r="D2123" s="11">
        <v>35</v>
      </c>
      <c r="E2123" s="7">
        <f t="shared" si="92"/>
        <v>1</v>
      </c>
      <c r="F2123" s="22" t="str">
        <f>IF(ISERROR(VLOOKUP($A2123,#REF!,3,0)),"x",VLOOKUP($A2123,#REF!,3,FALSE))</f>
        <v>x</v>
      </c>
      <c r="G2123" s="9">
        <f t="shared" si="99"/>
        <v>1</v>
      </c>
      <c r="H2123" s="13">
        <f t="shared" si="100"/>
        <v>147.5</v>
      </c>
    </row>
    <row r="2124" spans="1:8" x14ac:dyDescent="0.25">
      <c r="A2124" s="2" t="str">
        <f>"SLC-18NW12F"</f>
        <v>SLC-18NW12F</v>
      </c>
      <c r="B2124" s="2" t="str">
        <f>"SLC Schienenstrahler, CoB LED, 17W, 36°, 4000K, Gehäuse schwarz"</f>
        <v>SLC Schienenstrahler, CoB LED, 17W, 36°, 4000K, Gehäuse schwarz</v>
      </c>
      <c r="C2124" s="16">
        <v>147.5</v>
      </c>
      <c r="D2124" s="11">
        <v>35</v>
      </c>
      <c r="E2124" s="7">
        <f t="shared" si="92"/>
        <v>1</v>
      </c>
      <c r="F2124" s="22" t="str">
        <f>IF(ISERROR(VLOOKUP($A2124,#REF!,3,0)),"x",VLOOKUP($A2124,#REF!,3,FALSE))</f>
        <v>x</v>
      </c>
      <c r="G2124" s="9">
        <f t="shared" si="99"/>
        <v>1</v>
      </c>
      <c r="H2124" s="13">
        <f t="shared" si="100"/>
        <v>147.5</v>
      </c>
    </row>
    <row r="2125" spans="1:8" x14ac:dyDescent="0.25">
      <c r="A2125" s="2" t="str">
        <f>"SLC-18NW12S"</f>
        <v>SLC-18NW12S</v>
      </c>
      <c r="B2125" s="2" t="str">
        <f>"SLC Schienenstrahler, CoB LED, 17W, 15°, 4000K, Gehäuse schwarz"</f>
        <v>SLC Schienenstrahler, CoB LED, 17W, 15°, 4000K, Gehäuse schwarz</v>
      </c>
      <c r="C2125" s="16">
        <v>147.5</v>
      </c>
      <c r="D2125" s="11">
        <v>35</v>
      </c>
      <c r="E2125" s="7">
        <f t="shared" si="92"/>
        <v>1</v>
      </c>
      <c r="F2125" s="22" t="str">
        <f>IF(ISERROR(VLOOKUP($A2125,#REF!,3,0)),"x",VLOOKUP($A2125,#REF!,3,FALSE))</f>
        <v>x</v>
      </c>
      <c r="G2125" s="9">
        <f t="shared" si="99"/>
        <v>1</v>
      </c>
      <c r="H2125" s="13">
        <f t="shared" si="100"/>
        <v>147.5</v>
      </c>
    </row>
    <row r="2126" spans="1:8" x14ac:dyDescent="0.25">
      <c r="A2126" s="2" t="str">
        <f>"SLC-18SW11"</f>
        <v>SLC-18SW11</v>
      </c>
      <c r="B2126" s="2" t="str">
        <f>"SLC Schienenstrahler, CoB LED, 17W, 24°, 2700K, Gehäuse weiß"</f>
        <v>SLC Schienenstrahler, CoB LED, 17W, 24°, 2700K, Gehäuse weiß</v>
      </c>
      <c r="C2126" s="16">
        <v>147.5</v>
      </c>
      <c r="D2126" s="11">
        <v>35</v>
      </c>
      <c r="E2126" s="7">
        <f t="shared" si="92"/>
        <v>1</v>
      </c>
      <c r="F2126" s="22" t="str">
        <f>IF(ISERROR(VLOOKUP($A2126,#REF!,3,0)),"x",VLOOKUP($A2126,#REF!,3,FALSE))</f>
        <v>x</v>
      </c>
      <c r="G2126" s="9">
        <f t="shared" si="99"/>
        <v>1</v>
      </c>
      <c r="H2126" s="13">
        <f t="shared" si="100"/>
        <v>147.5</v>
      </c>
    </row>
    <row r="2127" spans="1:8" x14ac:dyDescent="0.25">
      <c r="A2127" s="2" t="str">
        <f>"SLC-18SW11F"</f>
        <v>SLC-18SW11F</v>
      </c>
      <c r="B2127" s="2" t="str">
        <f>"SLC Schienenstrahler, CoB LED, 17W, 36°, 2700K, Gehäuse weiss"</f>
        <v>SLC Schienenstrahler, CoB LED, 17W, 36°, 2700K, Gehäuse weiss</v>
      </c>
      <c r="C2127" s="16">
        <v>147.5</v>
      </c>
      <c r="D2127" s="11">
        <v>35</v>
      </c>
      <c r="E2127" s="7">
        <f t="shared" si="92"/>
        <v>1</v>
      </c>
      <c r="F2127" s="22" t="str">
        <f>IF(ISERROR(VLOOKUP($A2127,#REF!,3,0)),"x",VLOOKUP($A2127,#REF!,3,FALSE))</f>
        <v>x</v>
      </c>
      <c r="G2127" s="9">
        <f t="shared" si="99"/>
        <v>1</v>
      </c>
      <c r="H2127" s="13">
        <f t="shared" si="100"/>
        <v>147.5</v>
      </c>
    </row>
    <row r="2128" spans="1:8" x14ac:dyDescent="0.25">
      <c r="A2128" s="2" t="str">
        <f>"SLC-18SW11S"</f>
        <v>SLC-18SW11S</v>
      </c>
      <c r="B2128" s="2" t="str">
        <f>"SLC Schienenstrahler, CoB LED, 17W, 15°, 2700K, Gehäuse weiss"</f>
        <v>SLC Schienenstrahler, CoB LED, 17W, 15°, 2700K, Gehäuse weiss</v>
      </c>
      <c r="C2128" s="16">
        <v>147.5</v>
      </c>
      <c r="D2128" s="11">
        <v>35</v>
      </c>
      <c r="E2128" s="7">
        <f t="shared" si="92"/>
        <v>1</v>
      </c>
      <c r="F2128" s="22" t="str">
        <f>IF(ISERROR(VLOOKUP($A2128,#REF!,3,0)),"x",VLOOKUP($A2128,#REF!,3,FALSE))</f>
        <v>x</v>
      </c>
      <c r="G2128" s="9">
        <f t="shared" si="99"/>
        <v>1</v>
      </c>
      <c r="H2128" s="13">
        <f t="shared" si="100"/>
        <v>147.5</v>
      </c>
    </row>
    <row r="2129" spans="1:8" x14ac:dyDescent="0.25">
      <c r="A2129" s="2" t="str">
        <f>"SLC-18SW12"</f>
        <v>SLC-18SW12</v>
      </c>
      <c r="B2129" s="2" t="str">
        <f>"SLC Schienenstrahler, CoB LED, 17W, 24°, 2700K, Gehäuse schwarz"</f>
        <v>SLC Schienenstrahler, CoB LED, 17W, 24°, 2700K, Gehäuse schwarz</v>
      </c>
      <c r="C2129" s="16">
        <v>147.5</v>
      </c>
      <c r="D2129" s="11">
        <v>35</v>
      </c>
      <c r="E2129" s="7">
        <f t="shared" si="92"/>
        <v>1</v>
      </c>
      <c r="F2129" s="22" t="str">
        <f>IF(ISERROR(VLOOKUP($A2129,#REF!,3,0)),"x",VLOOKUP($A2129,#REF!,3,FALSE))</f>
        <v>x</v>
      </c>
      <c r="G2129" s="9">
        <f t="shared" si="99"/>
        <v>1</v>
      </c>
      <c r="H2129" s="13">
        <f t="shared" si="100"/>
        <v>147.5</v>
      </c>
    </row>
    <row r="2130" spans="1:8" x14ac:dyDescent="0.25">
      <c r="A2130" s="2" t="str">
        <f>"SLC-18SW12F"</f>
        <v>SLC-18SW12F</v>
      </c>
      <c r="B2130" s="2" t="str">
        <f>"SLC Schienenstrahler, CoB LED, 17W, 36°, 2700K, Gehäuse schwarz"</f>
        <v>SLC Schienenstrahler, CoB LED, 17W, 36°, 2700K, Gehäuse schwarz</v>
      </c>
      <c r="C2130" s="16">
        <v>147.5</v>
      </c>
      <c r="D2130" s="11">
        <v>35</v>
      </c>
      <c r="E2130" s="7">
        <f t="shared" si="92"/>
        <v>1</v>
      </c>
      <c r="F2130" s="22" t="str">
        <f>IF(ISERROR(VLOOKUP($A2130,#REF!,3,0)),"x",VLOOKUP($A2130,#REF!,3,FALSE))</f>
        <v>x</v>
      </c>
      <c r="G2130" s="9">
        <f t="shared" si="99"/>
        <v>1</v>
      </c>
      <c r="H2130" s="13">
        <f t="shared" si="100"/>
        <v>147.5</v>
      </c>
    </row>
    <row r="2131" spans="1:8" x14ac:dyDescent="0.25">
      <c r="A2131" s="2" t="str">
        <f>"SLC-18SW12S"</f>
        <v>SLC-18SW12S</v>
      </c>
      <c r="B2131" s="2" t="str">
        <f>"SLC Schienenstrahler, CoB LED, 17W, 15°, 2700K, Gehäuse schwarz"</f>
        <v>SLC Schienenstrahler, CoB LED, 17W, 15°, 2700K, Gehäuse schwarz</v>
      </c>
      <c r="C2131" s="16">
        <v>147.5</v>
      </c>
      <c r="D2131" s="11">
        <v>35</v>
      </c>
      <c r="E2131" s="7">
        <f t="shared" si="92"/>
        <v>1</v>
      </c>
      <c r="F2131" s="22" t="str">
        <f>IF(ISERROR(VLOOKUP($A2131,#REF!,3,0)),"x",VLOOKUP($A2131,#REF!,3,FALSE))</f>
        <v>x</v>
      </c>
      <c r="G2131" s="9">
        <f t="shared" si="99"/>
        <v>1</v>
      </c>
      <c r="H2131" s="13">
        <f t="shared" si="100"/>
        <v>147.5</v>
      </c>
    </row>
    <row r="2132" spans="1:8" x14ac:dyDescent="0.25">
      <c r="A2132" s="2" t="str">
        <f>"SLC-18WNW11"</f>
        <v>SLC-18WNW11</v>
      </c>
      <c r="B2132" s="2" t="str">
        <f>"SLC Schienenstrahler, CoB LED, 17W, 24°, 3500K, Gehäuse weiß"</f>
        <v>SLC Schienenstrahler, CoB LED, 17W, 24°, 3500K, Gehäuse weiß</v>
      </c>
      <c r="C2132" s="16">
        <v>147.5</v>
      </c>
      <c r="D2132" s="11">
        <v>35</v>
      </c>
      <c r="E2132" s="7">
        <f t="shared" si="92"/>
        <v>1</v>
      </c>
      <c r="F2132" s="22" t="str">
        <f>IF(ISERROR(VLOOKUP($A2132,#REF!,3,0)),"x",VLOOKUP($A2132,#REF!,3,FALSE))</f>
        <v>x</v>
      </c>
      <c r="G2132" s="9">
        <f t="shared" si="99"/>
        <v>1</v>
      </c>
      <c r="H2132" s="13">
        <f t="shared" si="100"/>
        <v>147.5</v>
      </c>
    </row>
    <row r="2133" spans="1:8" x14ac:dyDescent="0.25">
      <c r="A2133" s="2" t="str">
        <f>"SLC-18WNW11F"</f>
        <v>SLC-18WNW11F</v>
      </c>
      <c r="B2133" s="2" t="str">
        <f>"SLC Schienenstrahler, CoB LED, 17W, 36°, 3500K, Gehäuse weiß"</f>
        <v>SLC Schienenstrahler, CoB LED, 17W, 36°, 3500K, Gehäuse weiß</v>
      </c>
      <c r="C2133" s="16">
        <v>147.5</v>
      </c>
      <c r="D2133" s="11">
        <v>35</v>
      </c>
      <c r="E2133" s="7">
        <f t="shared" si="92"/>
        <v>1</v>
      </c>
      <c r="F2133" s="22" t="str">
        <f>IF(ISERROR(VLOOKUP($A2133,#REF!,3,0)),"x",VLOOKUP($A2133,#REF!,3,FALSE))</f>
        <v>x</v>
      </c>
      <c r="G2133" s="9">
        <f t="shared" si="99"/>
        <v>1</v>
      </c>
      <c r="H2133" s="13">
        <f t="shared" si="100"/>
        <v>147.5</v>
      </c>
    </row>
    <row r="2134" spans="1:8" x14ac:dyDescent="0.25">
      <c r="A2134" s="2" t="str">
        <f>"SLC-18WNW11S"</f>
        <v>SLC-18WNW11S</v>
      </c>
      <c r="B2134" s="2" t="str">
        <f>"SLC Schienenstrahler, CoB LED, 17W, 15°, 3500K, Gehäuse weiß"</f>
        <v>SLC Schienenstrahler, CoB LED, 17W, 15°, 3500K, Gehäuse weiß</v>
      </c>
      <c r="C2134" s="16">
        <v>147.5</v>
      </c>
      <c r="D2134" s="11">
        <v>35</v>
      </c>
      <c r="E2134" s="7">
        <f t="shared" si="92"/>
        <v>1</v>
      </c>
      <c r="F2134" s="22" t="str">
        <f>IF(ISERROR(VLOOKUP($A2134,#REF!,3,0)),"x",VLOOKUP($A2134,#REF!,3,FALSE))</f>
        <v>x</v>
      </c>
      <c r="G2134" s="9">
        <f t="shared" si="99"/>
        <v>1</v>
      </c>
      <c r="H2134" s="13">
        <f t="shared" si="100"/>
        <v>147.5</v>
      </c>
    </row>
    <row r="2135" spans="1:8" x14ac:dyDescent="0.25">
      <c r="A2135" s="2" t="str">
        <f>"SLC-18WNW12"</f>
        <v>SLC-18WNW12</v>
      </c>
      <c r="B2135" s="2" t="str">
        <f>"SLC Schienenstrahler, CoB LED, 17W, 24°, 3500K, Gehäuse schwarz"</f>
        <v>SLC Schienenstrahler, CoB LED, 17W, 24°, 3500K, Gehäuse schwarz</v>
      </c>
      <c r="C2135" s="16">
        <v>147.5</v>
      </c>
      <c r="D2135" s="11">
        <v>35</v>
      </c>
      <c r="E2135" s="7">
        <f t="shared" si="92"/>
        <v>1</v>
      </c>
      <c r="F2135" s="22" t="str">
        <f>IF(ISERROR(VLOOKUP($A2135,#REF!,3,0)),"x",VLOOKUP($A2135,#REF!,3,FALSE))</f>
        <v>x</v>
      </c>
      <c r="G2135" s="9">
        <f t="shared" si="99"/>
        <v>1</v>
      </c>
      <c r="H2135" s="13">
        <f t="shared" si="100"/>
        <v>147.5</v>
      </c>
    </row>
    <row r="2136" spans="1:8" x14ac:dyDescent="0.25">
      <c r="A2136" s="2" t="str">
        <f>"SLC-18WNW12F"</f>
        <v>SLC-18WNW12F</v>
      </c>
      <c r="B2136" s="2" t="str">
        <f>"SLC Schienenstrahler, CoB LED, 17W, 36°, 3500K, Gehäuse schwarz"</f>
        <v>SLC Schienenstrahler, CoB LED, 17W, 36°, 3500K, Gehäuse schwarz</v>
      </c>
      <c r="C2136" s="16">
        <v>147.5</v>
      </c>
      <c r="D2136" s="11">
        <v>35</v>
      </c>
      <c r="E2136" s="7">
        <f t="shared" si="92"/>
        <v>1</v>
      </c>
      <c r="F2136" s="22" t="str">
        <f>IF(ISERROR(VLOOKUP($A2136,#REF!,3,0)),"x",VLOOKUP($A2136,#REF!,3,FALSE))</f>
        <v>x</v>
      </c>
      <c r="G2136" s="9">
        <f t="shared" si="99"/>
        <v>1</v>
      </c>
      <c r="H2136" s="13">
        <f t="shared" si="100"/>
        <v>147.5</v>
      </c>
    </row>
    <row r="2137" spans="1:8" x14ac:dyDescent="0.25">
      <c r="A2137" s="2" t="str">
        <f>"SLC-18WNW12S"</f>
        <v>SLC-18WNW12S</v>
      </c>
      <c r="B2137" s="2" t="str">
        <f>"SLC Schienenstrahler, CoB LED, 17W, 15°, 3500K, Gehäuse schwarz"</f>
        <v>SLC Schienenstrahler, CoB LED, 17W, 15°, 3500K, Gehäuse schwarz</v>
      </c>
      <c r="C2137" s="16">
        <v>147.5</v>
      </c>
      <c r="D2137" s="11">
        <v>35</v>
      </c>
      <c r="E2137" s="7">
        <f t="shared" si="92"/>
        <v>1</v>
      </c>
      <c r="F2137" s="22" t="str">
        <f>IF(ISERROR(VLOOKUP($A2137,#REF!,3,0)),"x",VLOOKUP($A2137,#REF!,3,FALSE))</f>
        <v>x</v>
      </c>
      <c r="G2137" s="9">
        <f t="shared" si="99"/>
        <v>1</v>
      </c>
      <c r="H2137" s="13">
        <f t="shared" si="100"/>
        <v>147.5</v>
      </c>
    </row>
    <row r="2138" spans="1:8" x14ac:dyDescent="0.25">
      <c r="A2138" s="2" t="str">
        <f>"SLC-18WW11"</f>
        <v>SLC-18WW11</v>
      </c>
      <c r="B2138" s="2" t="str">
        <f>"SLC Schienenstrahler, CoB LED, 17W, 24°, 3000K, Gehäuse weiß"</f>
        <v>SLC Schienenstrahler, CoB LED, 17W, 24°, 3000K, Gehäuse weiß</v>
      </c>
      <c r="C2138" s="16">
        <v>147.5</v>
      </c>
      <c r="D2138" s="11">
        <v>35</v>
      </c>
      <c r="E2138" s="7">
        <f t="shared" si="92"/>
        <v>1</v>
      </c>
      <c r="F2138" s="22" t="str">
        <f>IF(ISERROR(VLOOKUP($A2138,#REF!,3,0)),"x",VLOOKUP($A2138,#REF!,3,FALSE))</f>
        <v>x</v>
      </c>
      <c r="G2138" s="9">
        <f t="shared" si="99"/>
        <v>1</v>
      </c>
      <c r="H2138" s="13">
        <f t="shared" si="100"/>
        <v>147.5</v>
      </c>
    </row>
    <row r="2139" spans="1:8" x14ac:dyDescent="0.25">
      <c r="A2139" s="2" t="str">
        <f>"SLC-18WW11F"</f>
        <v>SLC-18WW11F</v>
      </c>
      <c r="B2139" s="2" t="str">
        <f>"SLC Schienenstrahler, CoB LED, 17W, 36°, 3000K, Gehäuse weiß"</f>
        <v>SLC Schienenstrahler, CoB LED, 17W, 36°, 3000K, Gehäuse weiß</v>
      </c>
      <c r="C2139" s="16">
        <v>147.5</v>
      </c>
      <c r="D2139" s="11">
        <v>35</v>
      </c>
      <c r="E2139" s="7">
        <f t="shared" si="92"/>
        <v>1</v>
      </c>
      <c r="F2139" s="22" t="str">
        <f>IF(ISERROR(VLOOKUP($A2139,#REF!,3,0)),"x",VLOOKUP($A2139,#REF!,3,FALSE))</f>
        <v>x</v>
      </c>
      <c r="G2139" s="9">
        <f t="shared" si="99"/>
        <v>1</v>
      </c>
      <c r="H2139" s="13">
        <f t="shared" si="100"/>
        <v>147.5</v>
      </c>
    </row>
    <row r="2140" spans="1:8" x14ac:dyDescent="0.25">
      <c r="A2140" s="2" t="str">
        <f>"SLC-18WW11S"</f>
        <v>SLC-18WW11S</v>
      </c>
      <c r="B2140" s="2" t="str">
        <f>"SLC Schienenstrahler, CoB LED, 17W, 15°, 3000K, Gehäuse weiß"</f>
        <v>SLC Schienenstrahler, CoB LED, 17W, 15°, 3000K, Gehäuse weiß</v>
      </c>
      <c r="C2140" s="16">
        <v>147.5</v>
      </c>
      <c r="D2140" s="11">
        <v>35</v>
      </c>
      <c r="E2140" s="7">
        <f t="shared" si="92"/>
        <v>1</v>
      </c>
      <c r="F2140" s="22" t="str">
        <f>IF(ISERROR(VLOOKUP($A2140,#REF!,3,0)),"x",VLOOKUP($A2140,#REF!,3,FALSE))</f>
        <v>x</v>
      </c>
      <c r="G2140" s="9">
        <f t="shared" si="99"/>
        <v>1</v>
      </c>
      <c r="H2140" s="13">
        <f t="shared" si="100"/>
        <v>147.5</v>
      </c>
    </row>
    <row r="2141" spans="1:8" x14ac:dyDescent="0.25">
      <c r="A2141" s="2" t="str">
        <f>"SLC-18WW12"</f>
        <v>SLC-18WW12</v>
      </c>
      <c r="B2141" s="2" t="str">
        <f>"SLC Schienenstrahler, CoB LED, 17W, 24°, 3000K, Gehäuse schwarz"</f>
        <v>SLC Schienenstrahler, CoB LED, 17W, 24°, 3000K, Gehäuse schwarz</v>
      </c>
      <c r="C2141" s="16">
        <v>147.5</v>
      </c>
      <c r="D2141" s="11">
        <v>35</v>
      </c>
      <c r="E2141" s="7">
        <f t="shared" si="92"/>
        <v>1</v>
      </c>
      <c r="F2141" s="22" t="str">
        <f>IF(ISERROR(VLOOKUP($A2141,#REF!,3,0)),"x",VLOOKUP($A2141,#REF!,3,FALSE))</f>
        <v>x</v>
      </c>
      <c r="G2141" s="9">
        <f t="shared" si="99"/>
        <v>1</v>
      </c>
      <c r="H2141" s="13">
        <f t="shared" si="100"/>
        <v>147.5</v>
      </c>
    </row>
    <row r="2142" spans="1:8" x14ac:dyDescent="0.25">
      <c r="A2142" s="2" t="str">
        <f>"SLC-18WW12F"</f>
        <v>SLC-18WW12F</v>
      </c>
      <c r="B2142" s="2" t="str">
        <f>"SLC Schienenstrahler, CoB LED, 17W,36°, 3000K, Gehäuse schwarz"</f>
        <v>SLC Schienenstrahler, CoB LED, 17W,36°, 3000K, Gehäuse schwarz</v>
      </c>
      <c r="C2142" s="16">
        <v>147.5</v>
      </c>
      <c r="D2142" s="11">
        <v>35</v>
      </c>
      <c r="E2142" s="7">
        <f t="shared" si="92"/>
        <v>1</v>
      </c>
      <c r="F2142" s="22" t="str">
        <f>IF(ISERROR(VLOOKUP($A2142,#REF!,3,0)),"x",VLOOKUP($A2142,#REF!,3,FALSE))</f>
        <v>x</v>
      </c>
      <c r="G2142" s="9">
        <f t="shared" si="99"/>
        <v>1</v>
      </c>
      <c r="H2142" s="13">
        <f t="shared" si="100"/>
        <v>147.5</v>
      </c>
    </row>
    <row r="2143" spans="1:8" x14ac:dyDescent="0.25">
      <c r="A2143" s="2" t="str">
        <f>"SLC-18WW12S"</f>
        <v>SLC-18WW12S</v>
      </c>
      <c r="B2143" s="2" t="str">
        <f>"SLC Schienenstrahler, CoB LED, 17W,15°, 3000K, Gehäuse schwarz"</f>
        <v>SLC Schienenstrahler, CoB LED, 17W,15°, 3000K, Gehäuse schwarz</v>
      </c>
      <c r="C2143" s="16">
        <v>147.5</v>
      </c>
      <c r="D2143" s="11">
        <v>35</v>
      </c>
      <c r="E2143" s="7">
        <f t="shared" si="92"/>
        <v>1</v>
      </c>
      <c r="F2143" s="22" t="str">
        <f>IF(ISERROR(VLOOKUP($A2143,#REF!,3,0)),"x",VLOOKUP($A2143,#REF!,3,FALSE))</f>
        <v>x</v>
      </c>
      <c r="G2143" s="9">
        <f t="shared" si="99"/>
        <v>1</v>
      </c>
      <c r="H2143" s="13">
        <f t="shared" si="100"/>
        <v>147.5</v>
      </c>
    </row>
    <row r="2144" spans="1:8" x14ac:dyDescent="0.25">
      <c r="A2144" s="2" t="str">
        <f>"SLC-30NW11"</f>
        <v>SLC-30NW11</v>
      </c>
      <c r="B2144" s="2" t="str">
        <f>"SLC Schienenstrahler, CoB LED, 26W, 24°, 4000K, Gehäuse weiß"</f>
        <v>SLC Schienenstrahler, CoB LED, 26W, 24°, 4000K, Gehäuse weiß</v>
      </c>
      <c r="C2144" s="16">
        <v>157.5</v>
      </c>
      <c r="D2144" s="11">
        <v>35</v>
      </c>
      <c r="E2144" s="7">
        <f t="shared" si="92"/>
        <v>1</v>
      </c>
      <c r="F2144" s="22" t="str">
        <f>IF(ISERROR(VLOOKUP($A2144,#REF!,3,0)),"x",VLOOKUP($A2144,#REF!,3,FALSE))</f>
        <v>x</v>
      </c>
      <c r="G2144" s="9">
        <f t="shared" si="99"/>
        <v>1</v>
      </c>
      <c r="H2144" s="13">
        <f t="shared" si="100"/>
        <v>157.5</v>
      </c>
    </row>
    <row r="2145" spans="1:8" x14ac:dyDescent="0.25">
      <c r="A2145" s="2" t="str">
        <f>"SLC-30NW11F"</f>
        <v>SLC-30NW11F</v>
      </c>
      <c r="B2145" s="2" t="str">
        <f>"SLC Schienenstrahler, CoB LED, 26W, 36°, 4000K, Gehäuse weiß"</f>
        <v>SLC Schienenstrahler, CoB LED, 26W, 36°, 4000K, Gehäuse weiß</v>
      </c>
      <c r="C2145" s="16">
        <v>157.5</v>
      </c>
      <c r="D2145" s="11">
        <v>35</v>
      </c>
      <c r="E2145" s="7">
        <f t="shared" si="92"/>
        <v>1</v>
      </c>
      <c r="F2145" s="22" t="str">
        <f>IF(ISERROR(VLOOKUP($A2145,#REF!,3,0)),"x",VLOOKUP($A2145,#REF!,3,FALSE))</f>
        <v>x</v>
      </c>
      <c r="G2145" s="9">
        <f t="shared" si="99"/>
        <v>1</v>
      </c>
      <c r="H2145" s="13">
        <f t="shared" si="100"/>
        <v>157.5</v>
      </c>
    </row>
    <row r="2146" spans="1:8" x14ac:dyDescent="0.25">
      <c r="A2146" s="2" t="str">
        <f>"SLC-30NW11S"</f>
        <v>SLC-30NW11S</v>
      </c>
      <c r="B2146" s="2" t="str">
        <f>"SLC Schienenstrahler, CoB LED, 26W, 15°, 4000K, Gehäuse weiß"</f>
        <v>SLC Schienenstrahler, CoB LED, 26W, 15°, 4000K, Gehäuse weiß</v>
      </c>
      <c r="C2146" s="16">
        <v>157.5</v>
      </c>
      <c r="D2146" s="11">
        <v>35</v>
      </c>
      <c r="E2146" s="7">
        <f t="shared" si="92"/>
        <v>1</v>
      </c>
      <c r="F2146" s="22" t="str">
        <f>IF(ISERROR(VLOOKUP($A2146,#REF!,3,0)),"x",VLOOKUP($A2146,#REF!,3,FALSE))</f>
        <v>x</v>
      </c>
      <c r="G2146" s="9">
        <f t="shared" si="99"/>
        <v>1</v>
      </c>
      <c r="H2146" s="13">
        <f t="shared" si="100"/>
        <v>157.5</v>
      </c>
    </row>
    <row r="2147" spans="1:8" x14ac:dyDescent="0.25">
      <c r="A2147" s="2" t="str">
        <f>"SLC-30NW12"</f>
        <v>SLC-30NW12</v>
      </c>
      <c r="B2147" s="2" t="str">
        <f>"SLC Schienenstrahler, CoB LED, 26W, 24°, 4000K, Gehäuse schwarz"</f>
        <v>SLC Schienenstrahler, CoB LED, 26W, 24°, 4000K, Gehäuse schwarz</v>
      </c>
      <c r="C2147" s="16">
        <v>157.5</v>
      </c>
      <c r="D2147" s="11">
        <v>35</v>
      </c>
      <c r="E2147" s="7">
        <f t="shared" si="92"/>
        <v>1</v>
      </c>
      <c r="F2147" s="22" t="str">
        <f>IF(ISERROR(VLOOKUP($A2147,#REF!,3,0)),"x",VLOOKUP($A2147,#REF!,3,FALSE))</f>
        <v>x</v>
      </c>
      <c r="G2147" s="9">
        <f t="shared" si="99"/>
        <v>1</v>
      </c>
      <c r="H2147" s="13">
        <f t="shared" si="100"/>
        <v>157.5</v>
      </c>
    </row>
    <row r="2148" spans="1:8" x14ac:dyDescent="0.25">
      <c r="A2148" s="2" t="str">
        <f>"SLC-30NW12F"</f>
        <v>SLC-30NW12F</v>
      </c>
      <c r="B2148" s="2" t="str">
        <f>"SLC Schienenstrahler, CoB LED, 26W, 36°, 4000K, Gehäuse schwarz"</f>
        <v>SLC Schienenstrahler, CoB LED, 26W, 36°, 4000K, Gehäuse schwarz</v>
      </c>
      <c r="C2148" s="16">
        <v>157.5</v>
      </c>
      <c r="D2148" s="11">
        <v>35</v>
      </c>
      <c r="E2148" s="7">
        <f t="shared" si="92"/>
        <v>1</v>
      </c>
      <c r="F2148" s="22" t="str">
        <f>IF(ISERROR(VLOOKUP($A2148,#REF!,3,0)),"x",VLOOKUP($A2148,#REF!,3,FALSE))</f>
        <v>x</v>
      </c>
      <c r="G2148" s="9">
        <f t="shared" si="99"/>
        <v>1</v>
      </c>
      <c r="H2148" s="13">
        <f t="shared" si="100"/>
        <v>157.5</v>
      </c>
    </row>
    <row r="2149" spans="1:8" x14ac:dyDescent="0.25">
      <c r="A2149" s="2" t="str">
        <f>"SLC-30NW12S"</f>
        <v>SLC-30NW12S</v>
      </c>
      <c r="B2149" s="2" t="str">
        <f>"SLC Schienenstrahler, CoB LED, 26W, 15°, 4000K, Gehäuse schwarz"</f>
        <v>SLC Schienenstrahler, CoB LED, 26W, 15°, 4000K, Gehäuse schwarz</v>
      </c>
      <c r="C2149" s="16">
        <v>157.5</v>
      </c>
      <c r="D2149" s="11">
        <v>35</v>
      </c>
      <c r="E2149" s="7">
        <f t="shared" si="92"/>
        <v>1</v>
      </c>
      <c r="F2149" s="22" t="str">
        <f>IF(ISERROR(VLOOKUP($A2149,#REF!,3,0)),"x",VLOOKUP($A2149,#REF!,3,FALSE))</f>
        <v>x</v>
      </c>
      <c r="G2149" s="9">
        <f t="shared" si="99"/>
        <v>1</v>
      </c>
      <c r="H2149" s="13">
        <f t="shared" si="100"/>
        <v>157.5</v>
      </c>
    </row>
    <row r="2150" spans="1:8" x14ac:dyDescent="0.25">
      <c r="A2150" s="2" t="str">
        <f>"SLC-30SW11"</f>
        <v>SLC-30SW11</v>
      </c>
      <c r="B2150" s="2" t="str">
        <f>"SLC Schienenstrahler, CoB LED, 26W, 24°, 2700K, Gehäuse weiß"</f>
        <v>SLC Schienenstrahler, CoB LED, 26W, 24°, 2700K, Gehäuse weiß</v>
      </c>
      <c r="C2150" s="16">
        <v>157.5</v>
      </c>
      <c r="D2150" s="11">
        <v>35</v>
      </c>
      <c r="E2150" s="7">
        <f t="shared" si="92"/>
        <v>1</v>
      </c>
      <c r="F2150" s="22" t="str">
        <f>IF(ISERROR(VLOOKUP($A2150,#REF!,3,0)),"x",VLOOKUP($A2150,#REF!,3,FALSE))</f>
        <v>x</v>
      </c>
      <c r="G2150" s="9">
        <f t="shared" si="99"/>
        <v>1</v>
      </c>
      <c r="H2150" s="13">
        <f t="shared" si="100"/>
        <v>157.5</v>
      </c>
    </row>
    <row r="2151" spans="1:8" x14ac:dyDescent="0.25">
      <c r="A2151" s="2" t="str">
        <f>"SLC-30SW11F"</f>
        <v>SLC-30SW11F</v>
      </c>
      <c r="B2151" s="2" t="str">
        <f>"SLC Schienenstrahler, CoB LED, 26W, 36°, 2700K, Gehäuse weiß"</f>
        <v>SLC Schienenstrahler, CoB LED, 26W, 36°, 2700K, Gehäuse weiß</v>
      </c>
      <c r="C2151" s="16">
        <v>157.5</v>
      </c>
      <c r="D2151" s="11">
        <v>35</v>
      </c>
      <c r="E2151" s="7">
        <f t="shared" si="92"/>
        <v>1</v>
      </c>
      <c r="F2151" s="22" t="str">
        <f>IF(ISERROR(VLOOKUP($A2151,#REF!,3,0)),"x",VLOOKUP($A2151,#REF!,3,FALSE))</f>
        <v>x</v>
      </c>
      <c r="G2151" s="9">
        <f t="shared" si="99"/>
        <v>1</v>
      </c>
      <c r="H2151" s="13">
        <f t="shared" si="100"/>
        <v>157.5</v>
      </c>
    </row>
    <row r="2152" spans="1:8" x14ac:dyDescent="0.25">
      <c r="A2152" s="2" t="str">
        <f>"SLC-30SW11S"</f>
        <v>SLC-30SW11S</v>
      </c>
      <c r="B2152" s="2" t="str">
        <f>"SLC Schienenstrahler, CoB LED, 26W, 15°, 2700K, Gehäuse weiss"</f>
        <v>SLC Schienenstrahler, CoB LED, 26W, 15°, 2700K, Gehäuse weiss</v>
      </c>
      <c r="C2152" s="16">
        <v>157.5</v>
      </c>
      <c r="D2152" s="11">
        <v>35</v>
      </c>
      <c r="E2152" s="7">
        <f t="shared" si="92"/>
        <v>1</v>
      </c>
      <c r="F2152" s="22" t="str">
        <f>IF(ISERROR(VLOOKUP($A2152,#REF!,3,0)),"x",VLOOKUP($A2152,#REF!,3,FALSE))</f>
        <v>x</v>
      </c>
      <c r="G2152" s="9">
        <f t="shared" si="99"/>
        <v>1</v>
      </c>
      <c r="H2152" s="13">
        <f t="shared" si="100"/>
        <v>157.5</v>
      </c>
    </row>
    <row r="2153" spans="1:8" x14ac:dyDescent="0.25">
      <c r="A2153" s="2" t="str">
        <f>"SLC-30SW12"</f>
        <v>SLC-30SW12</v>
      </c>
      <c r="B2153" s="2" t="str">
        <f>"SLC Schienenstrahler, CoB LED, 26W, 24°, ´2700K, Gehäuse schwarz"</f>
        <v>SLC Schienenstrahler, CoB LED, 26W, 24°, ´2700K, Gehäuse schwarz</v>
      </c>
      <c r="C2153" s="16">
        <v>157.5</v>
      </c>
      <c r="D2153" s="11">
        <v>35</v>
      </c>
      <c r="E2153" s="7">
        <f t="shared" si="92"/>
        <v>1</v>
      </c>
      <c r="F2153" s="22" t="str">
        <f>IF(ISERROR(VLOOKUP($A2153,#REF!,3,0)),"x",VLOOKUP($A2153,#REF!,3,FALSE))</f>
        <v>x</v>
      </c>
      <c r="G2153" s="9">
        <f t="shared" si="99"/>
        <v>1</v>
      </c>
      <c r="H2153" s="13">
        <f t="shared" si="100"/>
        <v>157.5</v>
      </c>
    </row>
    <row r="2154" spans="1:8" x14ac:dyDescent="0.25">
      <c r="A2154" s="2" t="str">
        <f>"SLC-30SW12F"</f>
        <v>SLC-30SW12F</v>
      </c>
      <c r="B2154" s="2" t="str">
        <f>"SLC Schienenstrahler, CoB LED, 26W, 36°, ´2700K, Gehäuse schwarz"</f>
        <v>SLC Schienenstrahler, CoB LED, 26W, 36°, ´2700K, Gehäuse schwarz</v>
      </c>
      <c r="C2154" s="16">
        <v>157.5</v>
      </c>
      <c r="D2154" s="11">
        <v>35</v>
      </c>
      <c r="E2154" s="7">
        <f t="shared" si="92"/>
        <v>1</v>
      </c>
      <c r="F2154" s="22" t="str">
        <f>IF(ISERROR(VLOOKUP($A2154,#REF!,3,0)),"x",VLOOKUP($A2154,#REF!,3,FALSE))</f>
        <v>x</v>
      </c>
      <c r="G2154" s="9">
        <f t="shared" si="99"/>
        <v>1</v>
      </c>
      <c r="H2154" s="13">
        <f t="shared" si="100"/>
        <v>157.5</v>
      </c>
    </row>
    <row r="2155" spans="1:8" x14ac:dyDescent="0.25">
      <c r="A2155" s="2" t="str">
        <f>"SLC-30SW12S"</f>
        <v>SLC-30SW12S</v>
      </c>
      <c r="B2155" s="2" t="str">
        <f>"SLC Schienenstrahler, CoB LED, 26W, 15°, ´2700K, Gehäuse schwarz"</f>
        <v>SLC Schienenstrahler, CoB LED, 26W, 15°, ´2700K, Gehäuse schwarz</v>
      </c>
      <c r="C2155" s="16">
        <v>157.5</v>
      </c>
      <c r="D2155" s="11">
        <v>35</v>
      </c>
      <c r="E2155" s="7">
        <f t="shared" si="92"/>
        <v>1</v>
      </c>
      <c r="F2155" s="22" t="str">
        <f>IF(ISERROR(VLOOKUP($A2155,#REF!,3,0)),"x",VLOOKUP($A2155,#REF!,3,FALSE))</f>
        <v>x</v>
      </c>
      <c r="G2155" s="9">
        <f t="shared" si="99"/>
        <v>1</v>
      </c>
      <c r="H2155" s="13">
        <f t="shared" si="100"/>
        <v>157.5</v>
      </c>
    </row>
    <row r="2156" spans="1:8" x14ac:dyDescent="0.25">
      <c r="A2156" s="2" t="str">
        <f>"SLC-30WNW11"</f>
        <v>SLC-30WNW11</v>
      </c>
      <c r="B2156" s="2" t="str">
        <f>"SLC Schienenstrahler, CoB LED, 26W, 24°, 3500K, Gehäuse weiß"</f>
        <v>SLC Schienenstrahler, CoB LED, 26W, 24°, 3500K, Gehäuse weiß</v>
      </c>
      <c r="C2156" s="16">
        <v>157.5</v>
      </c>
      <c r="D2156" s="11">
        <v>35</v>
      </c>
      <c r="E2156" s="7">
        <f t="shared" si="92"/>
        <v>1</v>
      </c>
      <c r="F2156" s="22" t="str">
        <f>IF(ISERROR(VLOOKUP($A2156,#REF!,3,0)),"x",VLOOKUP($A2156,#REF!,3,FALSE))</f>
        <v>x</v>
      </c>
      <c r="G2156" s="9">
        <f t="shared" si="99"/>
        <v>1</v>
      </c>
      <c r="H2156" s="13">
        <f t="shared" si="100"/>
        <v>157.5</v>
      </c>
    </row>
    <row r="2157" spans="1:8" x14ac:dyDescent="0.25">
      <c r="A2157" s="2" t="str">
        <f>"SLC-30WNW11F"</f>
        <v>SLC-30WNW11F</v>
      </c>
      <c r="B2157" s="2" t="str">
        <f>"SLC Schienenstrahler, CoB LED, 26W, 36°, 3500K, Gehäuse weiß"</f>
        <v>SLC Schienenstrahler, CoB LED, 26W, 36°, 3500K, Gehäuse weiß</v>
      </c>
      <c r="C2157" s="16">
        <v>157.5</v>
      </c>
      <c r="D2157" s="11">
        <v>35</v>
      </c>
      <c r="E2157" s="7">
        <f t="shared" si="92"/>
        <v>1</v>
      </c>
      <c r="F2157" s="22" t="str">
        <f>IF(ISERROR(VLOOKUP($A2157,#REF!,3,0)),"x",VLOOKUP($A2157,#REF!,3,FALSE))</f>
        <v>x</v>
      </c>
      <c r="G2157" s="9">
        <f t="shared" si="99"/>
        <v>1</v>
      </c>
      <c r="H2157" s="13">
        <f t="shared" si="100"/>
        <v>157.5</v>
      </c>
    </row>
    <row r="2158" spans="1:8" x14ac:dyDescent="0.25">
      <c r="A2158" s="2" t="str">
        <f>"SLC-30WNW11S"</f>
        <v>SLC-30WNW11S</v>
      </c>
      <c r="B2158" s="2" t="str">
        <f>"SLC Schienenstrahler, CoB LED, 26W, 15°, 3500K, Gehäuse weiß"</f>
        <v>SLC Schienenstrahler, CoB LED, 26W, 15°, 3500K, Gehäuse weiß</v>
      </c>
      <c r="C2158" s="16">
        <v>157.5</v>
      </c>
      <c r="D2158" s="11">
        <v>35</v>
      </c>
      <c r="E2158" s="7">
        <f t="shared" si="92"/>
        <v>1</v>
      </c>
      <c r="F2158" s="22" t="str">
        <f>IF(ISERROR(VLOOKUP($A2158,#REF!,3,0)),"x",VLOOKUP($A2158,#REF!,3,FALSE))</f>
        <v>x</v>
      </c>
      <c r="G2158" s="9">
        <f t="shared" si="99"/>
        <v>1</v>
      </c>
      <c r="H2158" s="13">
        <f t="shared" si="100"/>
        <v>157.5</v>
      </c>
    </row>
    <row r="2159" spans="1:8" x14ac:dyDescent="0.25">
      <c r="A2159" s="2" t="str">
        <f>"SLC-30WNW12"</f>
        <v>SLC-30WNW12</v>
      </c>
      <c r="B2159" s="2" t="str">
        <f>"SLC Schienenstrahler, CoB LED, 26W, 24°, ´3500K, Gehäuse schwarz"</f>
        <v>SLC Schienenstrahler, CoB LED, 26W, 24°, ´3500K, Gehäuse schwarz</v>
      </c>
      <c r="C2159" s="16">
        <v>157.5</v>
      </c>
      <c r="D2159" s="11">
        <v>35</v>
      </c>
      <c r="E2159" s="7">
        <f t="shared" si="92"/>
        <v>1</v>
      </c>
      <c r="F2159" s="22" t="str">
        <f>IF(ISERROR(VLOOKUP($A2159,#REF!,3,0)),"x",VLOOKUP($A2159,#REF!,3,FALSE))</f>
        <v>x</v>
      </c>
      <c r="G2159" s="9">
        <f t="shared" si="99"/>
        <v>1</v>
      </c>
      <c r="H2159" s="13">
        <f t="shared" si="100"/>
        <v>157.5</v>
      </c>
    </row>
    <row r="2160" spans="1:8" x14ac:dyDescent="0.25">
      <c r="A2160" s="2" t="str">
        <f>"SLC-30WNW12F"</f>
        <v>SLC-30WNW12F</v>
      </c>
      <c r="B2160" s="2" t="str">
        <f>"SLC Schienenstrahler, CoB LED, 26W, 36°, ´3500K, Gehäuse schwarz"</f>
        <v>SLC Schienenstrahler, CoB LED, 26W, 36°, ´3500K, Gehäuse schwarz</v>
      </c>
      <c r="C2160" s="16">
        <v>157.5</v>
      </c>
      <c r="D2160" s="11">
        <v>35</v>
      </c>
      <c r="E2160" s="7">
        <f t="shared" si="92"/>
        <v>1</v>
      </c>
      <c r="F2160" s="22" t="str">
        <f>IF(ISERROR(VLOOKUP($A2160,#REF!,3,0)),"x",VLOOKUP($A2160,#REF!,3,FALSE))</f>
        <v>x</v>
      </c>
      <c r="G2160" s="9">
        <f t="shared" si="99"/>
        <v>1</v>
      </c>
      <c r="H2160" s="13">
        <f t="shared" si="100"/>
        <v>157.5</v>
      </c>
    </row>
    <row r="2161" spans="1:8" x14ac:dyDescent="0.25">
      <c r="A2161" s="2" t="str">
        <f>"SLC-30WNW12S"</f>
        <v>SLC-30WNW12S</v>
      </c>
      <c r="B2161" s="2" t="str">
        <f>"SLC Schienenstrahler, CoB LED, 26W, 15°, ´3500K, Gehäuse schwarz"</f>
        <v>SLC Schienenstrahler, CoB LED, 26W, 15°, ´3500K, Gehäuse schwarz</v>
      </c>
      <c r="C2161" s="16">
        <v>157.5</v>
      </c>
      <c r="D2161" s="11">
        <v>35</v>
      </c>
      <c r="E2161" s="7">
        <f t="shared" si="92"/>
        <v>1</v>
      </c>
      <c r="F2161" s="22" t="str">
        <f>IF(ISERROR(VLOOKUP($A2161,#REF!,3,0)),"x",VLOOKUP($A2161,#REF!,3,FALSE))</f>
        <v>x</v>
      </c>
      <c r="G2161" s="9">
        <f t="shared" si="99"/>
        <v>1</v>
      </c>
      <c r="H2161" s="13">
        <f t="shared" si="100"/>
        <v>157.5</v>
      </c>
    </row>
    <row r="2162" spans="1:8" x14ac:dyDescent="0.25">
      <c r="A2162" s="2" t="str">
        <f>"SLC-30WW11"</f>
        <v>SLC-30WW11</v>
      </c>
      <c r="B2162" s="2" t="str">
        <f>"SLC Schienenstrahler, CoB LED, 26W, 24°, 3000K, Gehäuse weiß"</f>
        <v>SLC Schienenstrahler, CoB LED, 26W, 24°, 3000K, Gehäuse weiß</v>
      </c>
      <c r="C2162" s="16">
        <v>157.5</v>
      </c>
      <c r="D2162" s="11">
        <v>35</v>
      </c>
      <c r="E2162" s="7">
        <f t="shared" si="92"/>
        <v>1</v>
      </c>
      <c r="F2162" s="22" t="str">
        <f>IF(ISERROR(VLOOKUP($A2162,#REF!,3,0)),"x",VLOOKUP($A2162,#REF!,3,FALSE))</f>
        <v>x</v>
      </c>
      <c r="G2162" s="9">
        <f t="shared" si="99"/>
        <v>1</v>
      </c>
      <c r="H2162" s="13">
        <f t="shared" si="100"/>
        <v>157.5</v>
      </c>
    </row>
    <row r="2163" spans="1:8" x14ac:dyDescent="0.25">
      <c r="A2163" s="2" t="str">
        <f>"SLC-30WW11F"</f>
        <v>SLC-30WW11F</v>
      </c>
      <c r="B2163" s="2" t="str">
        <f>"SLC Schienenstrahler, CoB LED, 26W, 36°, 3000K, Gehäuse weiß"</f>
        <v>SLC Schienenstrahler, CoB LED, 26W, 36°, 3000K, Gehäuse weiß</v>
      </c>
      <c r="C2163" s="16">
        <v>157.5</v>
      </c>
      <c r="D2163" s="11">
        <v>35</v>
      </c>
      <c r="E2163" s="7">
        <f t="shared" si="92"/>
        <v>1</v>
      </c>
      <c r="F2163" s="22" t="str">
        <f>IF(ISERROR(VLOOKUP($A2163,#REF!,3,0)),"x",VLOOKUP($A2163,#REF!,3,FALSE))</f>
        <v>x</v>
      </c>
      <c r="G2163" s="9">
        <f t="shared" si="99"/>
        <v>1</v>
      </c>
      <c r="H2163" s="13">
        <f t="shared" si="100"/>
        <v>157.5</v>
      </c>
    </row>
    <row r="2164" spans="1:8" x14ac:dyDescent="0.25">
      <c r="A2164" s="2" t="str">
        <f>"SLC-30WW11S"</f>
        <v>SLC-30WW11S</v>
      </c>
      <c r="B2164" s="2" t="str">
        <f>"SLC Schienenstrahler, CoB LED, 26W, 15°, 3000K, Gehäuse weiß"</f>
        <v>SLC Schienenstrahler, CoB LED, 26W, 15°, 3000K, Gehäuse weiß</v>
      </c>
      <c r="C2164" s="16">
        <v>157.5</v>
      </c>
      <c r="D2164" s="11">
        <v>35</v>
      </c>
      <c r="E2164" s="7">
        <f t="shared" si="92"/>
        <v>1</v>
      </c>
      <c r="F2164" s="22" t="str">
        <f>IF(ISERROR(VLOOKUP($A2164,#REF!,3,0)),"x",VLOOKUP($A2164,#REF!,3,FALSE))</f>
        <v>x</v>
      </c>
      <c r="G2164" s="9">
        <f t="shared" si="99"/>
        <v>1</v>
      </c>
      <c r="H2164" s="13">
        <f t="shared" si="100"/>
        <v>157.5</v>
      </c>
    </row>
    <row r="2165" spans="1:8" x14ac:dyDescent="0.25">
      <c r="A2165" s="2" t="str">
        <f>"SLC-30WW12"</f>
        <v>SLC-30WW12</v>
      </c>
      <c r="B2165" s="2" t="str">
        <f>"SLC Schienenstrahler, CoB LED, 26W, 24°, ´3000K, Gehäuse schwarz"</f>
        <v>SLC Schienenstrahler, CoB LED, 26W, 24°, ´3000K, Gehäuse schwarz</v>
      </c>
      <c r="C2165" s="16">
        <v>157.5</v>
      </c>
      <c r="D2165" s="11">
        <v>35</v>
      </c>
      <c r="E2165" s="7">
        <f t="shared" si="92"/>
        <v>1</v>
      </c>
      <c r="F2165" s="22" t="str">
        <f>IF(ISERROR(VLOOKUP($A2165,#REF!,3,0)),"x",VLOOKUP($A2165,#REF!,3,FALSE))</f>
        <v>x</v>
      </c>
      <c r="G2165" s="9">
        <f t="shared" si="99"/>
        <v>1</v>
      </c>
      <c r="H2165" s="13">
        <f t="shared" si="100"/>
        <v>157.5</v>
      </c>
    </row>
    <row r="2166" spans="1:8" x14ac:dyDescent="0.25">
      <c r="A2166" s="2" t="str">
        <f>"SLC-30WW12F"</f>
        <v>SLC-30WW12F</v>
      </c>
      <c r="B2166" s="2" t="str">
        <f>"SLC, Schienenstrahler, CoB LED, 26W, 36°, ´3000K, Gehäuse schwarz"</f>
        <v>SLC, Schienenstrahler, CoB LED, 26W, 36°, ´3000K, Gehäuse schwarz</v>
      </c>
      <c r="C2166" s="16">
        <v>157.5</v>
      </c>
      <c r="D2166" s="11">
        <v>35</v>
      </c>
      <c r="E2166" s="7">
        <f t="shared" si="92"/>
        <v>1</v>
      </c>
      <c r="F2166" s="22" t="str">
        <f>IF(ISERROR(VLOOKUP($A2166,#REF!,3,0)),"x",VLOOKUP($A2166,#REF!,3,FALSE))</f>
        <v>x</v>
      </c>
      <c r="G2166" s="9">
        <f t="shared" si="99"/>
        <v>1</v>
      </c>
      <c r="H2166" s="13">
        <f t="shared" si="100"/>
        <v>157.5</v>
      </c>
    </row>
    <row r="2167" spans="1:8" x14ac:dyDescent="0.25">
      <c r="A2167" s="2" t="str">
        <f>"SLC-30WW12S"</f>
        <v>SLC-30WW12S</v>
      </c>
      <c r="B2167" s="2" t="str">
        <f>"SLC Schienenstrahler, CoB LED, 26W, 15°, ´3000K, Gehäuse schwarz"</f>
        <v>SLC Schienenstrahler, CoB LED, 26W, 15°, ´3000K, Gehäuse schwarz</v>
      </c>
      <c r="C2167" s="16">
        <v>157.5</v>
      </c>
      <c r="D2167" s="11">
        <v>35</v>
      </c>
      <c r="E2167" s="7">
        <f t="shared" si="92"/>
        <v>1</v>
      </c>
      <c r="F2167" s="22" t="str">
        <f>IF(ISERROR(VLOOKUP($A2167,#REF!,3,0)),"x",VLOOKUP($A2167,#REF!,3,FALSE))</f>
        <v>x</v>
      </c>
      <c r="G2167" s="9">
        <f t="shared" si="99"/>
        <v>1</v>
      </c>
      <c r="H2167" s="13">
        <f t="shared" si="100"/>
        <v>157.5</v>
      </c>
    </row>
    <row r="2168" spans="1:8" x14ac:dyDescent="0.25">
      <c r="A2168" s="2" t="str">
        <f>"SLML-12NW11"</f>
        <v>SLML-12NW11</v>
      </c>
      <c r="B2168" s="2" t="str">
        <f>"Stromschienenleuchte, LED COB 12W, 4000K, 20°, weiß"</f>
        <v>Stromschienenleuchte, LED COB 12W, 4000K, 20°, weiß</v>
      </c>
      <c r="C2168" s="16">
        <v>92.5</v>
      </c>
      <c r="D2168" s="11">
        <v>37</v>
      </c>
      <c r="E2168" s="7">
        <f t="shared" si="92"/>
        <v>1</v>
      </c>
      <c r="F2168" s="22" t="str">
        <f>IF(ISERROR(VLOOKUP($A2168,#REF!,3,0)),"x",VLOOKUP($A2168,#REF!,3,FALSE))</f>
        <v>x</v>
      </c>
      <c r="G2168" s="9">
        <f t="shared" si="99"/>
        <v>1</v>
      </c>
      <c r="H2168" s="13">
        <f t="shared" si="100"/>
        <v>92.5</v>
      </c>
    </row>
    <row r="2169" spans="1:8" x14ac:dyDescent="0.25">
      <c r="A2169" s="2" t="str">
        <f>"SLML-12NW11F"</f>
        <v>SLML-12NW11F</v>
      </c>
      <c r="B2169" s="2" t="str">
        <f>"Stromschienenleuchte, LED COB 12W, 4000K, 40°, weiß"</f>
        <v>Stromschienenleuchte, LED COB 12W, 4000K, 40°, weiß</v>
      </c>
      <c r="C2169" s="16">
        <v>92.5</v>
      </c>
      <c r="D2169" s="11">
        <v>37</v>
      </c>
      <c r="E2169" s="7">
        <f t="shared" si="92"/>
        <v>1</v>
      </c>
      <c r="F2169" s="22" t="str">
        <f>IF(ISERROR(VLOOKUP($A2169,#REF!,3,0)),"x",VLOOKUP($A2169,#REF!,3,FALSE))</f>
        <v>x</v>
      </c>
      <c r="G2169" s="9">
        <f t="shared" si="99"/>
        <v>1</v>
      </c>
      <c r="H2169" s="13">
        <f t="shared" si="100"/>
        <v>92.5</v>
      </c>
    </row>
    <row r="2170" spans="1:8" x14ac:dyDescent="0.25">
      <c r="A2170" s="2" t="str">
        <f>"SLML-12NW12"</f>
        <v>SLML-12NW12</v>
      </c>
      <c r="B2170" s="2" t="str">
        <f>"Stromschienenleuchte, LED COB 12W, 4000K, 20°, schwarz"</f>
        <v>Stromschienenleuchte, LED COB 12W, 4000K, 20°, schwarz</v>
      </c>
      <c r="C2170" s="16">
        <v>92.5</v>
      </c>
      <c r="D2170" s="11">
        <v>37</v>
      </c>
      <c r="E2170" s="7">
        <f t="shared" si="92"/>
        <v>1</v>
      </c>
      <c r="F2170" s="22" t="str">
        <f>IF(ISERROR(VLOOKUP($A2170,#REF!,3,0)),"x",VLOOKUP($A2170,#REF!,3,FALSE))</f>
        <v>x</v>
      </c>
      <c r="G2170" s="9">
        <f t="shared" si="99"/>
        <v>1</v>
      </c>
      <c r="H2170" s="13">
        <f t="shared" si="100"/>
        <v>92.5</v>
      </c>
    </row>
    <row r="2171" spans="1:8" x14ac:dyDescent="0.25">
      <c r="A2171" s="2" t="str">
        <f>"SLML-12NW12F"</f>
        <v>SLML-12NW12F</v>
      </c>
      <c r="B2171" s="2" t="str">
        <f>"Stromschienenleuchte, LED COB 12W, 4000K, 40°, schwarz"</f>
        <v>Stromschienenleuchte, LED COB 12W, 4000K, 40°, schwarz</v>
      </c>
      <c r="C2171" s="16">
        <v>92.5</v>
      </c>
      <c r="D2171" s="11">
        <v>37</v>
      </c>
      <c r="E2171" s="7">
        <f t="shared" si="92"/>
        <v>1</v>
      </c>
      <c r="F2171" s="22" t="str">
        <f>IF(ISERROR(VLOOKUP($A2171,#REF!,3,0)),"x",VLOOKUP($A2171,#REF!,3,FALSE))</f>
        <v>x</v>
      </c>
      <c r="G2171" s="9">
        <f t="shared" si="99"/>
        <v>1</v>
      </c>
      <c r="H2171" s="13">
        <f t="shared" si="100"/>
        <v>92.5</v>
      </c>
    </row>
    <row r="2172" spans="1:8" x14ac:dyDescent="0.25">
      <c r="A2172" s="2" t="str">
        <f>"SLML-12SW11"</f>
        <v>SLML-12SW11</v>
      </c>
      <c r="B2172" s="2" t="str">
        <f>"Stromschienenleuchte, LED COB 12W, 2700K, 20°, weiß"</f>
        <v>Stromschienenleuchte, LED COB 12W, 2700K, 20°, weiß</v>
      </c>
      <c r="C2172" s="16">
        <v>92.5</v>
      </c>
      <c r="D2172" s="11">
        <v>37</v>
      </c>
      <c r="E2172" s="7">
        <f t="shared" si="92"/>
        <v>1</v>
      </c>
      <c r="F2172" s="22" t="str">
        <f>IF(ISERROR(VLOOKUP($A2172,#REF!,3,0)),"x",VLOOKUP($A2172,#REF!,3,FALSE))</f>
        <v>x</v>
      </c>
      <c r="G2172" s="9">
        <f t="shared" si="99"/>
        <v>1</v>
      </c>
      <c r="H2172" s="13">
        <f t="shared" si="100"/>
        <v>92.5</v>
      </c>
    </row>
    <row r="2173" spans="1:8" x14ac:dyDescent="0.25">
      <c r="A2173" s="2" t="str">
        <f>"SLML-12SW11F"</f>
        <v>SLML-12SW11F</v>
      </c>
      <c r="B2173" s="2" t="str">
        <f>"Stromschienenleuchte, LED COB 12W, 2700K, 40°, weiß"</f>
        <v>Stromschienenleuchte, LED COB 12W, 2700K, 40°, weiß</v>
      </c>
      <c r="C2173" s="16">
        <v>92.5</v>
      </c>
      <c r="D2173" s="11">
        <v>37</v>
      </c>
      <c r="E2173" s="7">
        <f t="shared" si="92"/>
        <v>1</v>
      </c>
      <c r="F2173" s="22" t="str">
        <f>IF(ISERROR(VLOOKUP($A2173,#REF!,3,0)),"x",VLOOKUP($A2173,#REF!,3,FALSE))</f>
        <v>x</v>
      </c>
      <c r="G2173" s="9">
        <f t="shared" si="99"/>
        <v>1</v>
      </c>
      <c r="H2173" s="13">
        <f t="shared" si="100"/>
        <v>92.5</v>
      </c>
    </row>
    <row r="2174" spans="1:8" x14ac:dyDescent="0.25">
      <c r="A2174" s="2" t="str">
        <f>"SLML-12SW12"</f>
        <v>SLML-12SW12</v>
      </c>
      <c r="B2174" s="2" t="str">
        <f>"Stromschienenleuchte, LED COB 12W, 2700K, 20°, schwarz"</f>
        <v>Stromschienenleuchte, LED COB 12W, 2700K, 20°, schwarz</v>
      </c>
      <c r="C2174" s="16">
        <v>92.5</v>
      </c>
      <c r="D2174" s="11">
        <v>37</v>
      </c>
      <c r="E2174" s="7">
        <f t="shared" si="92"/>
        <v>1</v>
      </c>
      <c r="F2174" s="22" t="str">
        <f>IF(ISERROR(VLOOKUP($A2174,#REF!,3,0)),"x",VLOOKUP($A2174,#REF!,3,FALSE))</f>
        <v>x</v>
      </c>
      <c r="G2174" s="9">
        <f t="shared" si="99"/>
        <v>1</v>
      </c>
      <c r="H2174" s="13">
        <f t="shared" si="100"/>
        <v>92.5</v>
      </c>
    </row>
    <row r="2175" spans="1:8" x14ac:dyDescent="0.25">
      <c r="A2175" s="2" t="str">
        <f>"SLML-12SW12F"</f>
        <v>SLML-12SW12F</v>
      </c>
      <c r="B2175" s="2" t="str">
        <f>"Stromschienenleuchte, LED COB 12W, 2700K, 40°, schwarz"</f>
        <v>Stromschienenleuchte, LED COB 12W, 2700K, 40°, schwarz</v>
      </c>
      <c r="C2175" s="16">
        <v>92.5</v>
      </c>
      <c r="D2175" s="11">
        <v>37</v>
      </c>
      <c r="E2175" s="7">
        <f t="shared" si="92"/>
        <v>1</v>
      </c>
      <c r="F2175" s="22" t="str">
        <f>IF(ISERROR(VLOOKUP($A2175,#REF!,3,0)),"x",VLOOKUP($A2175,#REF!,3,FALSE))</f>
        <v>x</v>
      </c>
      <c r="G2175" s="9">
        <f t="shared" si="99"/>
        <v>1</v>
      </c>
      <c r="H2175" s="13">
        <f t="shared" si="100"/>
        <v>92.5</v>
      </c>
    </row>
    <row r="2176" spans="1:8" x14ac:dyDescent="0.25">
      <c r="A2176" s="2" t="str">
        <f>"SLML-12WNW11"</f>
        <v>SLML-12WNW11</v>
      </c>
      <c r="B2176" s="2" t="str">
        <f>"Stromschienenleuchte, LED COB 12W, 3500K, 20°, weiß"</f>
        <v>Stromschienenleuchte, LED COB 12W, 3500K, 20°, weiß</v>
      </c>
      <c r="C2176" s="16">
        <v>92.5</v>
      </c>
      <c r="D2176" s="11">
        <v>37</v>
      </c>
      <c r="E2176" s="7">
        <f t="shared" si="92"/>
        <v>1</v>
      </c>
      <c r="F2176" s="22" t="str">
        <f>IF(ISERROR(VLOOKUP($A2176,#REF!,3,0)),"x",VLOOKUP($A2176,#REF!,3,FALSE))</f>
        <v>x</v>
      </c>
      <c r="G2176" s="9">
        <f t="shared" si="99"/>
        <v>1</v>
      </c>
      <c r="H2176" s="13">
        <f t="shared" si="100"/>
        <v>92.5</v>
      </c>
    </row>
    <row r="2177" spans="1:8" x14ac:dyDescent="0.25">
      <c r="A2177" s="2" t="str">
        <f>"SLML-12WNW11F"</f>
        <v>SLML-12WNW11F</v>
      </c>
      <c r="B2177" s="2" t="str">
        <f>"Stromschienenleuchte, LED COB 12W, 3500K, 40°, weiß"</f>
        <v>Stromschienenleuchte, LED COB 12W, 3500K, 40°, weiß</v>
      </c>
      <c r="C2177" s="16">
        <v>92.5</v>
      </c>
      <c r="D2177" s="11">
        <v>37</v>
      </c>
      <c r="E2177" s="7">
        <f t="shared" si="92"/>
        <v>1</v>
      </c>
      <c r="F2177" s="22" t="str">
        <f>IF(ISERROR(VLOOKUP($A2177,#REF!,3,0)),"x",VLOOKUP($A2177,#REF!,3,FALSE))</f>
        <v>x</v>
      </c>
      <c r="G2177" s="9">
        <f t="shared" si="99"/>
        <v>1</v>
      </c>
      <c r="H2177" s="13">
        <f t="shared" si="100"/>
        <v>92.5</v>
      </c>
    </row>
    <row r="2178" spans="1:8" x14ac:dyDescent="0.25">
      <c r="A2178" s="2" t="str">
        <f>"SLML-12WNW12"</f>
        <v>SLML-12WNW12</v>
      </c>
      <c r="B2178" s="2" t="str">
        <f>"Stromschienenleuchte, LED COB 12W, 3500K, 20°, schwarz"</f>
        <v>Stromschienenleuchte, LED COB 12W, 3500K, 20°, schwarz</v>
      </c>
      <c r="C2178" s="16">
        <v>92.5</v>
      </c>
      <c r="D2178" s="11">
        <v>37</v>
      </c>
      <c r="E2178" s="7">
        <f t="shared" ref="E2178:E2241" si="101">G2178</f>
        <v>1</v>
      </c>
      <c r="F2178" s="22" t="str">
        <f>IF(ISERROR(VLOOKUP($A2178,#REF!,3,0)),"x",VLOOKUP($A2178,#REF!,3,FALSE))</f>
        <v>x</v>
      </c>
      <c r="G2178" s="9">
        <f t="shared" si="99"/>
        <v>1</v>
      </c>
      <c r="H2178" s="13">
        <f t="shared" si="100"/>
        <v>92.5</v>
      </c>
    </row>
    <row r="2179" spans="1:8" x14ac:dyDescent="0.25">
      <c r="A2179" s="2" t="str">
        <f>"SLML-12WNW12F"</f>
        <v>SLML-12WNW12F</v>
      </c>
      <c r="B2179" s="2" t="str">
        <f>"Stromschienenleuchte, LED COB 12W, 3500K, 40°, schwarz"</f>
        <v>Stromschienenleuchte, LED COB 12W, 3500K, 40°, schwarz</v>
      </c>
      <c r="C2179" s="16">
        <v>92.5</v>
      </c>
      <c r="D2179" s="11">
        <v>37</v>
      </c>
      <c r="E2179" s="7">
        <f t="shared" si="101"/>
        <v>1</v>
      </c>
      <c r="F2179" s="22" t="str">
        <f>IF(ISERROR(VLOOKUP($A2179,#REF!,3,0)),"x",VLOOKUP($A2179,#REF!,3,FALSE))</f>
        <v>x</v>
      </c>
      <c r="G2179" s="9">
        <f t="shared" ref="G2179:G2242" si="102">IF(C2179&lt;F2179,1,IF(C2179&gt;F2179,-1,0))</f>
        <v>1</v>
      </c>
      <c r="H2179" s="13">
        <f t="shared" si="100"/>
        <v>92.5</v>
      </c>
    </row>
    <row r="2180" spans="1:8" x14ac:dyDescent="0.25">
      <c r="A2180" s="2" t="str">
        <f>"SLML-12WW11"</f>
        <v>SLML-12WW11</v>
      </c>
      <c r="B2180" s="2" t="str">
        <f>"Stromschienenleuchte, LED COB 12W, 3000K, 20°, weiß"</f>
        <v>Stromschienenleuchte, LED COB 12W, 3000K, 20°, weiß</v>
      </c>
      <c r="C2180" s="16">
        <v>92.5</v>
      </c>
      <c r="D2180" s="11">
        <v>37</v>
      </c>
      <c r="E2180" s="7">
        <f t="shared" si="101"/>
        <v>1</v>
      </c>
      <c r="F2180" s="22" t="str">
        <f>IF(ISERROR(VLOOKUP($A2180,#REF!,3,0)),"x",VLOOKUP($A2180,#REF!,3,FALSE))</f>
        <v>x</v>
      </c>
      <c r="G2180" s="9">
        <f t="shared" si="102"/>
        <v>1</v>
      </c>
      <c r="H2180" s="13">
        <f t="shared" si="100"/>
        <v>92.5</v>
      </c>
    </row>
    <row r="2181" spans="1:8" x14ac:dyDescent="0.25">
      <c r="A2181" s="2" t="str">
        <f>"SLML-12WW11F"</f>
        <v>SLML-12WW11F</v>
      </c>
      <c r="B2181" s="2" t="str">
        <f>"Stromschienenleuchte, LED COB 12W, 3000K, 40°, weiß"</f>
        <v>Stromschienenleuchte, LED COB 12W, 3000K, 40°, weiß</v>
      </c>
      <c r="C2181" s="16">
        <v>92.5</v>
      </c>
      <c r="D2181" s="11">
        <v>37</v>
      </c>
      <c r="E2181" s="7">
        <f t="shared" si="101"/>
        <v>1</v>
      </c>
      <c r="F2181" s="22" t="str">
        <f>IF(ISERROR(VLOOKUP($A2181,#REF!,3,0)),"x",VLOOKUP($A2181,#REF!,3,FALSE))</f>
        <v>x</v>
      </c>
      <c r="G2181" s="9">
        <f t="shared" si="102"/>
        <v>1</v>
      </c>
      <c r="H2181" s="13">
        <f t="shared" ref="H2181:H2244" si="103">IF(F2181="x",C2181,F2181)</f>
        <v>92.5</v>
      </c>
    </row>
    <row r="2182" spans="1:8" x14ac:dyDescent="0.25">
      <c r="A2182" s="2" t="str">
        <f>"SLML-12WW12"</f>
        <v>SLML-12WW12</v>
      </c>
      <c r="B2182" s="2" t="str">
        <f>"Stromschienenleuchte, LED COB 12W, 3000K, 20°, schwarz"</f>
        <v>Stromschienenleuchte, LED COB 12W, 3000K, 20°, schwarz</v>
      </c>
      <c r="C2182" s="16">
        <v>92.5</v>
      </c>
      <c r="D2182" s="11">
        <v>37</v>
      </c>
      <c r="E2182" s="7">
        <f t="shared" si="101"/>
        <v>1</v>
      </c>
      <c r="F2182" s="22" t="str">
        <f>IF(ISERROR(VLOOKUP($A2182,#REF!,3,0)),"x",VLOOKUP($A2182,#REF!,3,FALSE))</f>
        <v>x</v>
      </c>
      <c r="G2182" s="9">
        <f t="shared" si="102"/>
        <v>1</v>
      </c>
      <c r="H2182" s="13">
        <f t="shared" si="103"/>
        <v>92.5</v>
      </c>
    </row>
    <row r="2183" spans="1:8" x14ac:dyDescent="0.25">
      <c r="A2183" s="2" t="str">
        <f>"SLML-12WW12F"</f>
        <v>SLML-12WW12F</v>
      </c>
      <c r="B2183" s="2" t="str">
        <f>"Stromschienenleuchte, LED COB 12W, 3000K, 40°, schwarz"</f>
        <v>Stromschienenleuchte, LED COB 12W, 3000K, 40°, schwarz</v>
      </c>
      <c r="C2183" s="16">
        <v>92.5</v>
      </c>
      <c r="D2183" s="11">
        <v>37</v>
      </c>
      <c r="E2183" s="7">
        <f t="shared" si="101"/>
        <v>1</v>
      </c>
      <c r="F2183" s="22" t="str">
        <f>IF(ISERROR(VLOOKUP($A2183,#REF!,3,0)),"x",VLOOKUP($A2183,#REF!,3,FALSE))</f>
        <v>x</v>
      </c>
      <c r="G2183" s="9">
        <f t="shared" si="102"/>
        <v>1</v>
      </c>
      <c r="H2183" s="13">
        <f t="shared" si="103"/>
        <v>92.5</v>
      </c>
    </row>
    <row r="2184" spans="1:8" x14ac:dyDescent="0.25">
      <c r="A2184" s="2" t="str">
        <f>"SLML-16NW11"</f>
        <v>SLML-16NW11</v>
      </c>
      <c r="B2184" s="2" t="str">
        <f>"Stromschienenleuchte, LED COB 16W, 4000K, 20°, weiß"</f>
        <v>Stromschienenleuchte, LED COB 16W, 4000K, 20°, weiß</v>
      </c>
      <c r="C2184" s="16">
        <v>92.5</v>
      </c>
      <c r="D2184" s="11">
        <v>37</v>
      </c>
      <c r="E2184" s="7">
        <f t="shared" si="101"/>
        <v>1</v>
      </c>
      <c r="F2184" s="22" t="str">
        <f>IF(ISERROR(VLOOKUP($A2184,#REF!,3,0)),"x",VLOOKUP($A2184,#REF!,3,FALSE))</f>
        <v>x</v>
      </c>
      <c r="G2184" s="9">
        <f t="shared" si="102"/>
        <v>1</v>
      </c>
      <c r="H2184" s="13">
        <f t="shared" si="103"/>
        <v>92.5</v>
      </c>
    </row>
    <row r="2185" spans="1:8" x14ac:dyDescent="0.25">
      <c r="A2185" s="2" t="str">
        <f>"SLML-16NW11F"</f>
        <v>SLML-16NW11F</v>
      </c>
      <c r="B2185" s="2" t="str">
        <f>"Stromschienenleuchte, LED COB 16W, 4000K, 40°, weiß"</f>
        <v>Stromschienenleuchte, LED COB 16W, 4000K, 40°, weiß</v>
      </c>
      <c r="C2185" s="16">
        <v>92.5</v>
      </c>
      <c r="D2185" s="11">
        <v>37</v>
      </c>
      <c r="E2185" s="7">
        <f t="shared" si="101"/>
        <v>1</v>
      </c>
      <c r="F2185" s="22" t="str">
        <f>IF(ISERROR(VLOOKUP($A2185,#REF!,3,0)),"x",VLOOKUP($A2185,#REF!,3,FALSE))</f>
        <v>x</v>
      </c>
      <c r="G2185" s="9">
        <f t="shared" si="102"/>
        <v>1</v>
      </c>
      <c r="H2185" s="13">
        <f t="shared" si="103"/>
        <v>92.5</v>
      </c>
    </row>
    <row r="2186" spans="1:8" x14ac:dyDescent="0.25">
      <c r="A2186" s="2" t="str">
        <f>"SLML-16NW12"</f>
        <v>SLML-16NW12</v>
      </c>
      <c r="B2186" s="2" t="str">
        <f>"Stromschienenleuchte, LED COB 16W, 4000K, 20°, schwarz"</f>
        <v>Stromschienenleuchte, LED COB 16W, 4000K, 20°, schwarz</v>
      </c>
      <c r="C2186" s="16">
        <v>92.5</v>
      </c>
      <c r="D2186" s="11">
        <v>37</v>
      </c>
      <c r="E2186" s="7">
        <f t="shared" si="101"/>
        <v>1</v>
      </c>
      <c r="F2186" s="22" t="str">
        <f>IF(ISERROR(VLOOKUP($A2186,#REF!,3,0)),"x",VLOOKUP($A2186,#REF!,3,FALSE))</f>
        <v>x</v>
      </c>
      <c r="G2186" s="9">
        <f t="shared" si="102"/>
        <v>1</v>
      </c>
      <c r="H2186" s="13">
        <f t="shared" si="103"/>
        <v>92.5</v>
      </c>
    </row>
    <row r="2187" spans="1:8" x14ac:dyDescent="0.25">
      <c r="A2187" s="2" t="str">
        <f>"SLML-16NW12F"</f>
        <v>SLML-16NW12F</v>
      </c>
      <c r="B2187" s="2" t="str">
        <f>"Stromschienenleuchte, LED COB 16W, 4000K, 40°, schwarz"</f>
        <v>Stromschienenleuchte, LED COB 16W, 4000K, 40°, schwarz</v>
      </c>
      <c r="C2187" s="16">
        <v>92.5</v>
      </c>
      <c r="D2187" s="11">
        <v>37</v>
      </c>
      <c r="E2187" s="7">
        <f t="shared" si="101"/>
        <v>1</v>
      </c>
      <c r="F2187" s="22" t="str">
        <f>IF(ISERROR(VLOOKUP($A2187,#REF!,3,0)),"x",VLOOKUP($A2187,#REF!,3,FALSE))</f>
        <v>x</v>
      </c>
      <c r="G2187" s="9">
        <f t="shared" si="102"/>
        <v>1</v>
      </c>
      <c r="H2187" s="13">
        <f t="shared" si="103"/>
        <v>92.5</v>
      </c>
    </row>
    <row r="2188" spans="1:8" x14ac:dyDescent="0.25">
      <c r="A2188" s="2" t="str">
        <f>"SLML-16SW11"</f>
        <v>SLML-16SW11</v>
      </c>
      <c r="B2188" s="2" t="str">
        <f>"Stromschienenleuchte, LED COB 16W, 2700K, 20°, weiß"</f>
        <v>Stromschienenleuchte, LED COB 16W, 2700K, 20°, weiß</v>
      </c>
      <c r="C2188" s="16">
        <v>92.5</v>
      </c>
      <c r="D2188" s="11">
        <v>37</v>
      </c>
      <c r="E2188" s="7">
        <f t="shared" si="101"/>
        <v>1</v>
      </c>
      <c r="F2188" s="22" t="str">
        <f>IF(ISERROR(VLOOKUP($A2188,#REF!,3,0)),"x",VLOOKUP($A2188,#REF!,3,FALSE))</f>
        <v>x</v>
      </c>
      <c r="G2188" s="9">
        <f t="shared" si="102"/>
        <v>1</v>
      </c>
      <c r="H2188" s="13">
        <f t="shared" si="103"/>
        <v>92.5</v>
      </c>
    </row>
    <row r="2189" spans="1:8" x14ac:dyDescent="0.25">
      <c r="A2189" s="2" t="str">
        <f>"SLML-16SW11F"</f>
        <v>SLML-16SW11F</v>
      </c>
      <c r="B2189" s="2" t="str">
        <f>"Stromschienenleuchte, LED COB 16W, 2700K, 40°, weiß"</f>
        <v>Stromschienenleuchte, LED COB 16W, 2700K, 40°, weiß</v>
      </c>
      <c r="C2189" s="16">
        <v>92.5</v>
      </c>
      <c r="D2189" s="11">
        <v>37</v>
      </c>
      <c r="E2189" s="7">
        <f t="shared" si="101"/>
        <v>1</v>
      </c>
      <c r="F2189" s="22" t="str">
        <f>IF(ISERROR(VLOOKUP($A2189,#REF!,3,0)),"x",VLOOKUP($A2189,#REF!,3,FALSE))</f>
        <v>x</v>
      </c>
      <c r="G2189" s="9">
        <f t="shared" si="102"/>
        <v>1</v>
      </c>
      <c r="H2189" s="13">
        <f t="shared" si="103"/>
        <v>92.5</v>
      </c>
    </row>
    <row r="2190" spans="1:8" x14ac:dyDescent="0.25">
      <c r="A2190" s="2" t="str">
        <f>"SLML-16SW12"</f>
        <v>SLML-16SW12</v>
      </c>
      <c r="B2190" s="2" t="str">
        <f>"Stromschienenleuchte, LED COB 16W, 2700K, 20°, schwarz"</f>
        <v>Stromschienenleuchte, LED COB 16W, 2700K, 20°, schwarz</v>
      </c>
      <c r="C2190" s="16">
        <v>92.5</v>
      </c>
      <c r="D2190" s="11">
        <v>37</v>
      </c>
      <c r="E2190" s="7">
        <f t="shared" si="101"/>
        <v>1</v>
      </c>
      <c r="F2190" s="22" t="str">
        <f>IF(ISERROR(VLOOKUP($A2190,#REF!,3,0)),"x",VLOOKUP($A2190,#REF!,3,FALSE))</f>
        <v>x</v>
      </c>
      <c r="G2190" s="9">
        <f t="shared" si="102"/>
        <v>1</v>
      </c>
      <c r="H2190" s="13">
        <f t="shared" si="103"/>
        <v>92.5</v>
      </c>
    </row>
    <row r="2191" spans="1:8" x14ac:dyDescent="0.25">
      <c r="A2191" s="2" t="str">
        <f>"SLML-16SW12F"</f>
        <v>SLML-16SW12F</v>
      </c>
      <c r="B2191" s="2" t="str">
        <f>"Stromschienenleuchte, LED COB 16W, 2700K, 40°, schwarz"</f>
        <v>Stromschienenleuchte, LED COB 16W, 2700K, 40°, schwarz</v>
      </c>
      <c r="C2191" s="16">
        <v>92.5</v>
      </c>
      <c r="D2191" s="11">
        <v>37</v>
      </c>
      <c r="E2191" s="7">
        <f t="shared" si="101"/>
        <v>1</v>
      </c>
      <c r="F2191" s="22" t="str">
        <f>IF(ISERROR(VLOOKUP($A2191,#REF!,3,0)),"x",VLOOKUP($A2191,#REF!,3,FALSE))</f>
        <v>x</v>
      </c>
      <c r="G2191" s="9">
        <f t="shared" si="102"/>
        <v>1</v>
      </c>
      <c r="H2191" s="13">
        <f t="shared" si="103"/>
        <v>92.5</v>
      </c>
    </row>
    <row r="2192" spans="1:8" x14ac:dyDescent="0.25">
      <c r="A2192" s="2" t="str">
        <f>"SLML-16WNW11"</f>
        <v>SLML-16WNW11</v>
      </c>
      <c r="B2192" s="2" t="str">
        <f>"Stromschienenleuchte, LED COB 16W, 3500K, 20°, weiß"</f>
        <v>Stromschienenleuchte, LED COB 16W, 3500K, 20°, weiß</v>
      </c>
      <c r="C2192" s="16">
        <v>92.5</v>
      </c>
      <c r="D2192" s="11">
        <v>37</v>
      </c>
      <c r="E2192" s="7">
        <f t="shared" si="101"/>
        <v>1</v>
      </c>
      <c r="F2192" s="22" t="str">
        <f>IF(ISERROR(VLOOKUP($A2192,#REF!,3,0)),"x",VLOOKUP($A2192,#REF!,3,FALSE))</f>
        <v>x</v>
      </c>
      <c r="G2192" s="9">
        <f t="shared" si="102"/>
        <v>1</v>
      </c>
      <c r="H2192" s="13">
        <f t="shared" si="103"/>
        <v>92.5</v>
      </c>
    </row>
    <row r="2193" spans="1:8" x14ac:dyDescent="0.25">
      <c r="A2193" s="2" t="str">
        <f>"SLML-16WNW11F"</f>
        <v>SLML-16WNW11F</v>
      </c>
      <c r="B2193" s="2" t="str">
        <f>"Stromschienenleuchte, LED COB 16W, 3500K, 40°, weiß"</f>
        <v>Stromschienenleuchte, LED COB 16W, 3500K, 40°, weiß</v>
      </c>
      <c r="C2193" s="16">
        <v>92.5</v>
      </c>
      <c r="D2193" s="11">
        <v>37</v>
      </c>
      <c r="E2193" s="7">
        <f t="shared" si="101"/>
        <v>1</v>
      </c>
      <c r="F2193" s="22" t="str">
        <f>IF(ISERROR(VLOOKUP($A2193,#REF!,3,0)),"x",VLOOKUP($A2193,#REF!,3,FALSE))</f>
        <v>x</v>
      </c>
      <c r="G2193" s="9">
        <f t="shared" si="102"/>
        <v>1</v>
      </c>
      <c r="H2193" s="13">
        <f t="shared" si="103"/>
        <v>92.5</v>
      </c>
    </row>
    <row r="2194" spans="1:8" x14ac:dyDescent="0.25">
      <c r="A2194" s="2" t="str">
        <f>"SLML-16WNW12"</f>
        <v>SLML-16WNW12</v>
      </c>
      <c r="B2194" s="2" t="str">
        <f>"Stromschienenleuchte, LED COB 16W, 3500K, 20°, schwarz"</f>
        <v>Stromschienenleuchte, LED COB 16W, 3500K, 20°, schwarz</v>
      </c>
      <c r="C2194" s="16">
        <v>92.5</v>
      </c>
      <c r="D2194" s="11">
        <v>37</v>
      </c>
      <c r="E2194" s="7">
        <f t="shared" si="101"/>
        <v>1</v>
      </c>
      <c r="F2194" s="22" t="str">
        <f>IF(ISERROR(VLOOKUP($A2194,#REF!,3,0)),"x",VLOOKUP($A2194,#REF!,3,FALSE))</f>
        <v>x</v>
      </c>
      <c r="G2194" s="9">
        <f t="shared" si="102"/>
        <v>1</v>
      </c>
      <c r="H2194" s="13">
        <f t="shared" si="103"/>
        <v>92.5</v>
      </c>
    </row>
    <row r="2195" spans="1:8" x14ac:dyDescent="0.25">
      <c r="A2195" s="2" t="str">
        <f>"SLML-16WNW12F"</f>
        <v>SLML-16WNW12F</v>
      </c>
      <c r="B2195" s="2" t="str">
        <f>"Stromschienenleuchte, LED COB 16W, 3500K, 40°, schwarz"</f>
        <v>Stromschienenleuchte, LED COB 16W, 3500K, 40°, schwarz</v>
      </c>
      <c r="C2195" s="16">
        <v>92.5</v>
      </c>
      <c r="D2195" s="11">
        <v>37</v>
      </c>
      <c r="E2195" s="7">
        <f t="shared" si="101"/>
        <v>1</v>
      </c>
      <c r="F2195" s="22" t="str">
        <f>IF(ISERROR(VLOOKUP($A2195,#REF!,3,0)),"x",VLOOKUP($A2195,#REF!,3,FALSE))</f>
        <v>x</v>
      </c>
      <c r="G2195" s="9">
        <f t="shared" si="102"/>
        <v>1</v>
      </c>
      <c r="H2195" s="13">
        <f t="shared" si="103"/>
        <v>92.5</v>
      </c>
    </row>
    <row r="2196" spans="1:8" x14ac:dyDescent="0.25">
      <c r="A2196" s="2" t="str">
        <f>"SLML-16WW11"</f>
        <v>SLML-16WW11</v>
      </c>
      <c r="B2196" s="2" t="str">
        <f>"Stromschienenleuchte, LED COB 16W, 3000K, 20°, weiß"</f>
        <v>Stromschienenleuchte, LED COB 16W, 3000K, 20°, weiß</v>
      </c>
      <c r="C2196" s="16">
        <v>92.5</v>
      </c>
      <c r="D2196" s="11">
        <v>37</v>
      </c>
      <c r="E2196" s="7">
        <f t="shared" si="101"/>
        <v>1</v>
      </c>
      <c r="F2196" s="22" t="str">
        <f>IF(ISERROR(VLOOKUP($A2196,#REF!,3,0)),"x",VLOOKUP($A2196,#REF!,3,FALSE))</f>
        <v>x</v>
      </c>
      <c r="G2196" s="9">
        <f t="shared" si="102"/>
        <v>1</v>
      </c>
      <c r="H2196" s="13">
        <f t="shared" si="103"/>
        <v>92.5</v>
      </c>
    </row>
    <row r="2197" spans="1:8" x14ac:dyDescent="0.25">
      <c r="A2197" s="2" t="str">
        <f>"SLML-16WW11F"</f>
        <v>SLML-16WW11F</v>
      </c>
      <c r="B2197" s="2" t="str">
        <f>"Stromschienenleuchte, LED COB 16W, 3000K, 40°, weiß"</f>
        <v>Stromschienenleuchte, LED COB 16W, 3000K, 40°, weiß</v>
      </c>
      <c r="C2197" s="16">
        <v>92.5</v>
      </c>
      <c r="D2197" s="11">
        <v>37</v>
      </c>
      <c r="E2197" s="7">
        <f t="shared" si="101"/>
        <v>1</v>
      </c>
      <c r="F2197" s="22" t="str">
        <f>IF(ISERROR(VLOOKUP($A2197,#REF!,3,0)),"x",VLOOKUP($A2197,#REF!,3,FALSE))</f>
        <v>x</v>
      </c>
      <c r="G2197" s="9">
        <f t="shared" si="102"/>
        <v>1</v>
      </c>
      <c r="H2197" s="13">
        <f t="shared" si="103"/>
        <v>92.5</v>
      </c>
    </row>
    <row r="2198" spans="1:8" x14ac:dyDescent="0.25">
      <c r="A2198" s="2" t="str">
        <f>"SLML-16WW12"</f>
        <v>SLML-16WW12</v>
      </c>
      <c r="B2198" s="2" t="str">
        <f>"Stromschienenleuchte, LED COB 16W, 3000K, 20°, schwarz"</f>
        <v>Stromschienenleuchte, LED COB 16W, 3000K, 20°, schwarz</v>
      </c>
      <c r="C2198" s="16">
        <v>92.5</v>
      </c>
      <c r="D2198" s="11">
        <v>37</v>
      </c>
      <c r="E2198" s="7">
        <f t="shared" si="101"/>
        <v>1</v>
      </c>
      <c r="F2198" s="22" t="str">
        <f>IF(ISERROR(VLOOKUP($A2198,#REF!,3,0)),"x",VLOOKUP($A2198,#REF!,3,FALSE))</f>
        <v>x</v>
      </c>
      <c r="G2198" s="9">
        <f t="shared" si="102"/>
        <v>1</v>
      </c>
      <c r="H2198" s="13">
        <f t="shared" si="103"/>
        <v>92.5</v>
      </c>
    </row>
    <row r="2199" spans="1:8" x14ac:dyDescent="0.25">
      <c r="A2199" s="2" t="str">
        <f>"SLML-16WW12F"</f>
        <v>SLML-16WW12F</v>
      </c>
      <c r="B2199" s="2" t="str">
        <f>"Stromschienenleuchte, LED COB 16W, 3000K, 40°, schwarz"</f>
        <v>Stromschienenleuchte, LED COB 16W, 3000K, 40°, schwarz</v>
      </c>
      <c r="C2199" s="16">
        <v>92.5</v>
      </c>
      <c r="D2199" s="11">
        <v>37</v>
      </c>
      <c r="E2199" s="7">
        <f t="shared" si="101"/>
        <v>1</v>
      </c>
      <c r="F2199" s="22" t="str">
        <f>IF(ISERROR(VLOOKUP($A2199,#REF!,3,0)),"x",VLOOKUP($A2199,#REF!,3,FALSE))</f>
        <v>x</v>
      </c>
      <c r="G2199" s="9">
        <f t="shared" si="102"/>
        <v>1</v>
      </c>
      <c r="H2199" s="13">
        <f t="shared" si="103"/>
        <v>92.5</v>
      </c>
    </row>
    <row r="2200" spans="1:8" x14ac:dyDescent="0.25">
      <c r="A2200" s="2" t="str">
        <f>"SLMN-10011"</f>
        <v>SLMN-10011</v>
      </c>
      <c r="B2200" s="2" t="str">
        <f>"SLMN Stromschienenleuchte, GU10, weiss"</f>
        <v>SLMN Stromschienenleuchte, GU10, weiss</v>
      </c>
      <c r="C2200" s="16">
        <v>49.5</v>
      </c>
      <c r="D2200" s="11">
        <v>37</v>
      </c>
      <c r="E2200" s="7">
        <f t="shared" si="101"/>
        <v>1</v>
      </c>
      <c r="F2200" s="22" t="str">
        <f>IF(ISERROR(VLOOKUP($A2200,#REF!,3,0)),"x",VLOOKUP($A2200,#REF!,3,FALSE))</f>
        <v>x</v>
      </c>
      <c r="G2200" s="9">
        <f t="shared" si="102"/>
        <v>1</v>
      </c>
      <c r="H2200" s="13">
        <f t="shared" si="103"/>
        <v>49.5</v>
      </c>
    </row>
    <row r="2201" spans="1:8" x14ac:dyDescent="0.25">
      <c r="A2201" s="2" t="str">
        <f>"SLMN-10012"</f>
        <v>SLMN-10012</v>
      </c>
      <c r="B2201" s="2" t="str">
        <f>"SLMN Stromschienenleuchte, GU10, schwarz"</f>
        <v>SLMN Stromschienenleuchte, GU10, schwarz</v>
      </c>
      <c r="C2201" s="16">
        <v>49.5</v>
      </c>
      <c r="D2201" s="11">
        <v>37</v>
      </c>
      <c r="E2201" s="7">
        <f t="shared" si="101"/>
        <v>1</v>
      </c>
      <c r="F2201" s="22" t="str">
        <f>IF(ISERROR(VLOOKUP($A2201,#REF!,3,0)),"x",VLOOKUP($A2201,#REF!,3,FALSE))</f>
        <v>x</v>
      </c>
      <c r="G2201" s="9">
        <f t="shared" si="102"/>
        <v>1</v>
      </c>
      <c r="H2201" s="13">
        <f t="shared" si="103"/>
        <v>49.5</v>
      </c>
    </row>
    <row r="2202" spans="1:8" x14ac:dyDescent="0.25">
      <c r="A2202" s="2" t="str">
        <f>"SMALL-8NW2"</f>
        <v>SMALL-8NW2</v>
      </c>
      <c r="B2202" s="2" t="str">
        <f>"5608NE4K SmallLED, 8,5W, 4000K, inkl. Netzteil, schwarz"</f>
        <v>5608NE4K SmallLED, 8,5W, 4000K, inkl. Netzteil, schwarz</v>
      </c>
      <c r="C2202" s="16">
        <v>307.5</v>
      </c>
      <c r="D2202" s="11">
        <v>285</v>
      </c>
      <c r="E2202" s="7">
        <f t="shared" si="101"/>
        <v>1</v>
      </c>
      <c r="F2202" s="22" t="str">
        <f>IF(ISERROR(VLOOKUP($A2202,#REF!,3,0)),"x",VLOOKUP($A2202,#REF!,3,FALSE))</f>
        <v>x</v>
      </c>
      <c r="G2202" s="9">
        <f t="shared" si="102"/>
        <v>1</v>
      </c>
      <c r="H2202" s="13">
        <f t="shared" si="103"/>
        <v>307.5</v>
      </c>
    </row>
    <row r="2203" spans="1:8" x14ac:dyDescent="0.25">
      <c r="A2203" s="2" t="str">
        <f>"SMALL-8NW7"</f>
        <v>SMALL-8NW7</v>
      </c>
      <c r="B2203" s="2" t="str">
        <f>"5608AG4K SmallLED, 8,5W, 4000K, inkl. Netzteil, aluminiumgrau"</f>
        <v>5608AG4K SmallLED, 8,5W, 4000K, inkl. Netzteil, aluminiumgrau</v>
      </c>
      <c r="C2203" s="16">
        <v>310</v>
      </c>
      <c r="D2203" s="11">
        <v>285</v>
      </c>
      <c r="E2203" s="7">
        <f t="shared" si="101"/>
        <v>1</v>
      </c>
      <c r="F2203" s="22" t="str">
        <f>IF(ISERROR(VLOOKUP($A2203,#REF!,3,0)),"x",VLOOKUP($A2203,#REF!,3,FALSE))</f>
        <v>x</v>
      </c>
      <c r="G2203" s="9">
        <f t="shared" si="102"/>
        <v>1</v>
      </c>
      <c r="H2203" s="13">
        <f t="shared" si="103"/>
        <v>310</v>
      </c>
    </row>
    <row r="2204" spans="1:8" x14ac:dyDescent="0.25">
      <c r="A2204" s="2" t="str">
        <f>"SMALL-8WW2"</f>
        <v>SMALL-8WW2</v>
      </c>
      <c r="B2204" s="2" t="str">
        <f>"5608NE3K SmallLED, 8,5W, 3000K, inkl. Netzteil, schwarz"</f>
        <v>5608NE3K SmallLED, 8,5W, 3000K, inkl. Netzteil, schwarz</v>
      </c>
      <c r="C2204" s="16">
        <v>307.5</v>
      </c>
      <c r="D2204" s="11">
        <v>285</v>
      </c>
      <c r="E2204" s="7">
        <f t="shared" si="101"/>
        <v>1</v>
      </c>
      <c r="F2204" s="22" t="str">
        <f>IF(ISERROR(VLOOKUP($A2204,#REF!,3,0)),"x",VLOOKUP($A2204,#REF!,3,FALSE))</f>
        <v>x</v>
      </c>
      <c r="G2204" s="9">
        <f t="shared" si="102"/>
        <v>1</v>
      </c>
      <c r="H2204" s="13">
        <f t="shared" si="103"/>
        <v>307.5</v>
      </c>
    </row>
    <row r="2205" spans="1:8" x14ac:dyDescent="0.25">
      <c r="A2205" s="2" t="str">
        <f>"SMALL-8WW7"</f>
        <v>SMALL-8WW7</v>
      </c>
      <c r="B2205" s="2" t="str">
        <f>"5608AG3K SmallLED, 8,5W, 3000K, inkl. Netzteil, aluminiumgrau"</f>
        <v>5608AG3K SmallLED, 8,5W, 3000K, inkl. Netzteil, aluminiumgrau</v>
      </c>
      <c r="C2205" s="16">
        <v>310</v>
      </c>
      <c r="D2205" s="11">
        <v>285</v>
      </c>
      <c r="E2205" s="7">
        <f t="shared" si="101"/>
        <v>1</v>
      </c>
      <c r="F2205" s="22" t="str">
        <f>IF(ISERROR(VLOOKUP($A2205,#REF!,3,0)),"x",VLOOKUP($A2205,#REF!,3,FALSE))</f>
        <v>x</v>
      </c>
      <c r="G2205" s="9">
        <f t="shared" si="102"/>
        <v>1</v>
      </c>
      <c r="H2205" s="13">
        <f t="shared" si="103"/>
        <v>310</v>
      </c>
    </row>
    <row r="2206" spans="1:8" x14ac:dyDescent="0.25">
      <c r="A2206" s="2" t="str">
        <f>"SMAXI-20NW2"</f>
        <v>SMAXI-20NW2</v>
      </c>
      <c r="B2206" s="2" t="str">
        <f>"5212NE4K SuperMaxiLED 20W, 4000K, L=1007mm, mit Treiber, Alu, schwarz"</f>
        <v>5212NE4K SuperMaxiLED 20W, 4000K, L=1007mm, mit Treiber, Alu, schwarz</v>
      </c>
      <c r="C2206" s="16">
        <v>768.5</v>
      </c>
      <c r="D2206" s="11">
        <v>285</v>
      </c>
      <c r="E2206" s="7">
        <f t="shared" si="101"/>
        <v>1</v>
      </c>
      <c r="F2206" s="22" t="str">
        <f>IF(ISERROR(VLOOKUP($A2206,#REF!,3,0)),"x",VLOOKUP($A2206,#REF!,3,FALSE))</f>
        <v>x</v>
      </c>
      <c r="G2206" s="9">
        <f t="shared" si="102"/>
        <v>1</v>
      </c>
      <c r="H2206" s="13">
        <f t="shared" si="103"/>
        <v>768.5</v>
      </c>
    </row>
    <row r="2207" spans="1:8" x14ac:dyDescent="0.25">
      <c r="A2207" s="2" t="str">
        <f>"SMAXI-20NW7"</f>
        <v>SMAXI-20NW7</v>
      </c>
      <c r="B2207" s="2" t="str">
        <f>"5212AG4K SuperMaxiLED 20W, 4000K, L=1007mm, mit Treiber, Alu, aluminiumgrau "</f>
        <v xml:space="preserve">5212AG4K SuperMaxiLED 20W, 4000K, L=1007mm, mit Treiber, Alu, aluminiumgrau </v>
      </c>
      <c r="C2207" s="16">
        <v>784.25</v>
      </c>
      <c r="D2207" s="11">
        <v>285</v>
      </c>
      <c r="E2207" s="7">
        <f t="shared" si="101"/>
        <v>1</v>
      </c>
      <c r="F2207" s="22" t="str">
        <f>IF(ISERROR(VLOOKUP($A2207,#REF!,3,0)),"x",VLOOKUP($A2207,#REF!,3,FALSE))</f>
        <v>x</v>
      </c>
      <c r="G2207" s="9">
        <f t="shared" si="102"/>
        <v>1</v>
      </c>
      <c r="H2207" s="13">
        <f t="shared" si="103"/>
        <v>784.25</v>
      </c>
    </row>
    <row r="2208" spans="1:8" x14ac:dyDescent="0.25">
      <c r="A2208" s="2" t="str">
        <f>"SMAXI-20WW2"</f>
        <v>SMAXI-20WW2</v>
      </c>
      <c r="B2208" s="2" t="str">
        <f>"5212NE3K SuperMaxiLED 20W, 3000K, L=1007mm, mit Treiber, Alu, schwarz"</f>
        <v>5212NE3K SuperMaxiLED 20W, 3000K, L=1007mm, mit Treiber, Alu, schwarz</v>
      </c>
      <c r="C2208" s="16">
        <v>768.5</v>
      </c>
      <c r="D2208" s="11">
        <v>285</v>
      </c>
      <c r="E2208" s="7">
        <f t="shared" si="101"/>
        <v>1</v>
      </c>
      <c r="F2208" s="22" t="str">
        <f>IF(ISERROR(VLOOKUP($A2208,#REF!,3,0)),"x",VLOOKUP($A2208,#REF!,3,FALSE))</f>
        <v>x</v>
      </c>
      <c r="G2208" s="9">
        <f t="shared" si="102"/>
        <v>1</v>
      </c>
      <c r="H2208" s="13">
        <f t="shared" si="103"/>
        <v>768.5</v>
      </c>
    </row>
    <row r="2209" spans="1:8" x14ac:dyDescent="0.25">
      <c r="A2209" s="2" t="str">
        <f>"SMAXI-20WW7"</f>
        <v>SMAXI-20WW7</v>
      </c>
      <c r="B2209" s="2" t="str">
        <f>"5212AG3K SuperMaxiLED 20W, 3000K, L=1007mm, mit Treiber, Alu, aluminiumgrau "</f>
        <v xml:space="preserve">5212AG3K SuperMaxiLED 20W, 3000K, L=1007mm, mit Treiber, Alu, aluminiumgrau </v>
      </c>
      <c r="C2209" s="16">
        <v>784.25</v>
      </c>
      <c r="D2209" s="11">
        <v>285</v>
      </c>
      <c r="E2209" s="7">
        <f t="shared" si="101"/>
        <v>1</v>
      </c>
      <c r="F2209" s="22" t="str">
        <f>IF(ISERROR(VLOOKUP($A2209,#REF!,3,0)),"x",VLOOKUP($A2209,#REF!,3,FALSE))</f>
        <v>x</v>
      </c>
      <c r="G2209" s="9">
        <f t="shared" si="102"/>
        <v>1</v>
      </c>
      <c r="H2209" s="13">
        <f t="shared" si="103"/>
        <v>784.25</v>
      </c>
    </row>
    <row r="2210" spans="1:8" x14ac:dyDescent="0.25">
      <c r="A2210" s="2" t="str">
        <f>"SMAXI-29NW2"</f>
        <v>SMAXI-29NW2</v>
      </c>
      <c r="B2210" s="2" t="str">
        <f>"5221NE4K SuperMaxiLED 29W, 4000K, L=1348mm, mit Treiber, Alu, schwarz"</f>
        <v>5221NE4K SuperMaxiLED 29W, 4000K, L=1348mm, mit Treiber, Alu, schwarz</v>
      </c>
      <c r="C2210" s="16">
        <v>945</v>
      </c>
      <c r="D2210" s="11">
        <v>285</v>
      </c>
      <c r="E2210" s="7">
        <f t="shared" si="101"/>
        <v>1</v>
      </c>
      <c r="F2210" s="22" t="str">
        <f>IF(ISERROR(VLOOKUP($A2210,#REF!,3,0)),"x",VLOOKUP($A2210,#REF!,3,FALSE))</f>
        <v>x</v>
      </c>
      <c r="G2210" s="9">
        <f t="shared" si="102"/>
        <v>1</v>
      </c>
      <c r="H2210" s="13">
        <f t="shared" si="103"/>
        <v>945</v>
      </c>
    </row>
    <row r="2211" spans="1:8" x14ac:dyDescent="0.25">
      <c r="A2211" s="2" t="str">
        <f>"SMAXI-29NW7"</f>
        <v>SMAXI-29NW7</v>
      </c>
      <c r="B2211" s="2" t="str">
        <f>"5221AG4K SuperMaxiLED 29W, 4000K, L=1348mm, mit Treiber, Alu, aluminiumgrau "</f>
        <v xml:space="preserve">5221AG4K SuperMaxiLED 29W, 4000K, L=1348mm, mit Treiber, Alu, aluminiumgrau </v>
      </c>
      <c r="C2211" s="16">
        <v>945</v>
      </c>
      <c r="D2211" s="11">
        <v>285</v>
      </c>
      <c r="E2211" s="7">
        <f t="shared" si="101"/>
        <v>1</v>
      </c>
      <c r="F2211" s="22" t="str">
        <f>IF(ISERROR(VLOOKUP($A2211,#REF!,3,0)),"x",VLOOKUP($A2211,#REF!,3,FALSE))</f>
        <v>x</v>
      </c>
      <c r="G2211" s="9">
        <f t="shared" si="102"/>
        <v>1</v>
      </c>
      <c r="H2211" s="13">
        <f t="shared" si="103"/>
        <v>945</v>
      </c>
    </row>
    <row r="2212" spans="1:8" x14ac:dyDescent="0.25">
      <c r="A2212" s="2" t="str">
        <f>"SMAXI-29WW2"</f>
        <v>SMAXI-29WW2</v>
      </c>
      <c r="B2212" s="2" t="str">
        <f>"5221NE3K SuperMaxiLED 29W, 3000K, L=1348mm, mit Treiber, Alu, schwarz"</f>
        <v>5221NE3K SuperMaxiLED 29W, 3000K, L=1348mm, mit Treiber, Alu, schwarz</v>
      </c>
      <c r="C2212" s="16">
        <v>945</v>
      </c>
      <c r="D2212" s="11">
        <v>285</v>
      </c>
      <c r="E2212" s="7">
        <f t="shared" si="101"/>
        <v>1</v>
      </c>
      <c r="F2212" s="22" t="str">
        <f>IF(ISERROR(VLOOKUP($A2212,#REF!,3,0)),"x",VLOOKUP($A2212,#REF!,3,FALSE))</f>
        <v>x</v>
      </c>
      <c r="G2212" s="9">
        <f t="shared" si="102"/>
        <v>1</v>
      </c>
      <c r="H2212" s="13">
        <f t="shared" si="103"/>
        <v>945</v>
      </c>
    </row>
    <row r="2213" spans="1:8" x14ac:dyDescent="0.25">
      <c r="A2213" s="2" t="str">
        <f>"SMAXI-29WW7"</f>
        <v>SMAXI-29WW7</v>
      </c>
      <c r="B2213" s="2" t="str">
        <f>"5221AG3K SuperMaxiLED 29W, 3000K, L=1348mm, mit Treiber, Alu, aluminiumgrau "</f>
        <v xml:space="preserve">5221AG3K SuperMaxiLED 29W, 3000K, L=1348mm, mit Treiber, Alu, aluminiumgrau </v>
      </c>
      <c r="C2213" s="16">
        <v>945</v>
      </c>
      <c r="D2213" s="11">
        <v>285</v>
      </c>
      <c r="E2213" s="7">
        <f t="shared" si="101"/>
        <v>1</v>
      </c>
      <c r="F2213" s="22" t="str">
        <f>IF(ISERROR(VLOOKUP($A2213,#REF!,3,0)),"x",VLOOKUP($A2213,#REF!,3,FALSE))</f>
        <v>x</v>
      </c>
      <c r="G2213" s="9">
        <f t="shared" si="102"/>
        <v>1</v>
      </c>
      <c r="H2213" s="13">
        <f t="shared" si="103"/>
        <v>945</v>
      </c>
    </row>
    <row r="2214" spans="1:8" x14ac:dyDescent="0.25">
      <c r="A2214" s="2" t="str">
        <f>"SMAXI-34NW2"</f>
        <v>SMAXI-34NW2</v>
      </c>
      <c r="B2214" s="2" t="str">
        <f>"5232NE4K SuperMaxiLED 34W, 4000K, L=1578mm, mit Treiber, Alu, schwarz"</f>
        <v>5232NE4K SuperMaxiLED 34W, 4000K, L=1578mm, mit Treiber, Alu, schwarz</v>
      </c>
      <c r="C2214" s="16">
        <v>1052.5</v>
      </c>
      <c r="D2214" s="11">
        <v>285</v>
      </c>
      <c r="E2214" s="7">
        <f t="shared" si="101"/>
        <v>1</v>
      </c>
      <c r="F2214" s="22" t="str">
        <f>IF(ISERROR(VLOOKUP($A2214,#REF!,3,0)),"x",VLOOKUP($A2214,#REF!,3,FALSE))</f>
        <v>x</v>
      </c>
      <c r="G2214" s="9">
        <f t="shared" si="102"/>
        <v>1</v>
      </c>
      <c r="H2214" s="13">
        <f t="shared" si="103"/>
        <v>1052.5</v>
      </c>
    </row>
    <row r="2215" spans="1:8" x14ac:dyDescent="0.25">
      <c r="A2215" s="2" t="str">
        <f>"SMAXI-34NW7"</f>
        <v>SMAXI-34NW7</v>
      </c>
      <c r="B2215" s="2" t="str">
        <f>"5232AG4K SuperMaxiLED 34W, 4000K, L=1578mm, mit Treiber, Alu, aluminiumgrau"</f>
        <v>5232AG4K SuperMaxiLED 34W, 4000K, L=1578mm, mit Treiber, Alu, aluminiumgrau</v>
      </c>
      <c r="C2215" s="16">
        <v>1052.5</v>
      </c>
      <c r="D2215" s="11">
        <v>285</v>
      </c>
      <c r="E2215" s="7">
        <f t="shared" si="101"/>
        <v>1</v>
      </c>
      <c r="F2215" s="22" t="str">
        <f>IF(ISERROR(VLOOKUP($A2215,#REF!,3,0)),"x",VLOOKUP($A2215,#REF!,3,FALSE))</f>
        <v>x</v>
      </c>
      <c r="G2215" s="9">
        <f t="shared" si="102"/>
        <v>1</v>
      </c>
      <c r="H2215" s="13">
        <f t="shared" si="103"/>
        <v>1052.5</v>
      </c>
    </row>
    <row r="2216" spans="1:8" x14ac:dyDescent="0.25">
      <c r="A2216" s="2" t="str">
        <f>"SMAXI-34WW2"</f>
        <v>SMAXI-34WW2</v>
      </c>
      <c r="B2216" s="2" t="str">
        <f>"5232NE3K SuperMaxiLED 34W, 3000K, L=1578mm, mit Treiber, Alu, schwarz"</f>
        <v>5232NE3K SuperMaxiLED 34W, 3000K, L=1578mm, mit Treiber, Alu, schwarz</v>
      </c>
      <c r="C2216" s="16">
        <v>1052.5</v>
      </c>
      <c r="D2216" s="11">
        <v>285</v>
      </c>
      <c r="E2216" s="7">
        <f t="shared" si="101"/>
        <v>1</v>
      </c>
      <c r="F2216" s="22" t="str">
        <f>IF(ISERROR(VLOOKUP($A2216,#REF!,3,0)),"x",VLOOKUP($A2216,#REF!,3,FALSE))</f>
        <v>x</v>
      </c>
      <c r="G2216" s="9">
        <f t="shared" si="102"/>
        <v>1</v>
      </c>
      <c r="H2216" s="13">
        <f t="shared" si="103"/>
        <v>1052.5</v>
      </c>
    </row>
    <row r="2217" spans="1:8" x14ac:dyDescent="0.25">
      <c r="A2217" s="2" t="str">
        <f>"SMAXI-34WW7"</f>
        <v>SMAXI-34WW7</v>
      </c>
      <c r="B2217" s="2" t="str">
        <f>"5232AG3KSuperMaxiLED 34W, 3000K, L=1578mm, mit Treiber, Alu, aluminiumgrau"</f>
        <v>5232AG3KSuperMaxiLED 34W, 3000K, L=1578mm, mit Treiber, Alu, aluminiumgrau</v>
      </c>
      <c r="C2217" s="16">
        <v>1052.5</v>
      </c>
      <c r="D2217" s="11">
        <v>285</v>
      </c>
      <c r="E2217" s="7">
        <f t="shared" si="101"/>
        <v>1</v>
      </c>
      <c r="F2217" s="22" t="str">
        <f>IF(ISERROR(VLOOKUP($A2217,#REF!,3,0)),"x",VLOOKUP($A2217,#REF!,3,FALSE))</f>
        <v>x</v>
      </c>
      <c r="G2217" s="9">
        <f t="shared" si="102"/>
        <v>1</v>
      </c>
      <c r="H2217" s="13">
        <f t="shared" si="103"/>
        <v>1052.5</v>
      </c>
    </row>
    <row r="2218" spans="1:8" x14ac:dyDescent="0.25">
      <c r="A2218" s="2" t="str">
        <f>"SMAXI-40NW2"</f>
        <v>SMAXI-40NW2</v>
      </c>
      <c r="B2218" s="2" t="str">
        <f>"5213NE4K SuperMaxiLED 40W, 4000K, L=1007mm, mit Treiber, Alu, schwarz"</f>
        <v>5213NE4K SuperMaxiLED 40W, 4000K, L=1007mm, mit Treiber, Alu, schwarz</v>
      </c>
      <c r="C2218" s="16">
        <v>875</v>
      </c>
      <c r="D2218" s="11">
        <v>285</v>
      </c>
      <c r="E2218" s="7">
        <f t="shared" si="101"/>
        <v>1</v>
      </c>
      <c r="F2218" s="22" t="str">
        <f>IF(ISERROR(VLOOKUP($A2218,#REF!,3,0)),"x",VLOOKUP($A2218,#REF!,3,FALSE))</f>
        <v>x</v>
      </c>
      <c r="G2218" s="9">
        <f t="shared" si="102"/>
        <v>1</v>
      </c>
      <c r="H2218" s="13">
        <f t="shared" si="103"/>
        <v>875</v>
      </c>
    </row>
    <row r="2219" spans="1:8" x14ac:dyDescent="0.25">
      <c r="A2219" s="2" t="str">
        <f>"SMAXI-40NW7"</f>
        <v>SMAXI-40NW7</v>
      </c>
      <c r="B2219" s="2" t="str">
        <f>"5213AG4K SuperMaxiLED 40W, 4000K, L=1007mm, mit Treiber, Alu, aluminiumgrau"</f>
        <v>5213AG4K SuperMaxiLED 40W, 4000K, L=1007mm, mit Treiber, Alu, aluminiumgrau</v>
      </c>
      <c r="C2219" s="16">
        <v>880.5</v>
      </c>
      <c r="D2219" s="11">
        <v>285</v>
      </c>
      <c r="E2219" s="7">
        <f t="shared" si="101"/>
        <v>1</v>
      </c>
      <c r="F2219" s="22" t="str">
        <f>IF(ISERROR(VLOOKUP($A2219,#REF!,3,0)),"x",VLOOKUP($A2219,#REF!,3,FALSE))</f>
        <v>x</v>
      </c>
      <c r="G2219" s="9">
        <f t="shared" si="102"/>
        <v>1</v>
      </c>
      <c r="H2219" s="13">
        <f t="shared" si="103"/>
        <v>880.5</v>
      </c>
    </row>
    <row r="2220" spans="1:8" x14ac:dyDescent="0.25">
      <c r="A2220" s="2" t="str">
        <f>"SMAXI-40WW2"</f>
        <v>SMAXI-40WW2</v>
      </c>
      <c r="B2220" s="2" t="str">
        <f>"5213NE3K SuperMaxiLED 40W, 3000K, L=1007mm, mit Treiber, Alu, schwarz"</f>
        <v>5213NE3K SuperMaxiLED 40W, 3000K, L=1007mm, mit Treiber, Alu, schwarz</v>
      </c>
      <c r="C2220" s="16">
        <v>875</v>
      </c>
      <c r="D2220" s="11">
        <v>285</v>
      </c>
      <c r="E2220" s="7">
        <f t="shared" si="101"/>
        <v>1</v>
      </c>
      <c r="F2220" s="22" t="str">
        <f>IF(ISERROR(VLOOKUP($A2220,#REF!,3,0)),"x",VLOOKUP($A2220,#REF!,3,FALSE))</f>
        <v>x</v>
      </c>
      <c r="G2220" s="9">
        <f t="shared" si="102"/>
        <v>1</v>
      </c>
      <c r="H2220" s="13">
        <f t="shared" si="103"/>
        <v>875</v>
      </c>
    </row>
    <row r="2221" spans="1:8" x14ac:dyDescent="0.25">
      <c r="A2221" s="2" t="str">
        <f>"SMAXI-40WW7"</f>
        <v>SMAXI-40WW7</v>
      </c>
      <c r="B2221" s="2" t="str">
        <f>"5213SI3K SuperMaxiLED 40W, 3000K, L=1007mm, mit Treiber, Alu, aluminiumgrau"</f>
        <v>5213SI3K SuperMaxiLED 40W, 3000K, L=1007mm, mit Treiber, Alu, aluminiumgrau</v>
      </c>
      <c r="C2221" s="16">
        <v>880.5</v>
      </c>
      <c r="D2221" s="11">
        <v>285</v>
      </c>
      <c r="E2221" s="7">
        <f t="shared" si="101"/>
        <v>1</v>
      </c>
      <c r="F2221" s="22" t="str">
        <f>IF(ISERROR(VLOOKUP($A2221,#REF!,3,0)),"x",VLOOKUP($A2221,#REF!,3,FALSE))</f>
        <v>x</v>
      </c>
      <c r="G2221" s="9">
        <f t="shared" si="102"/>
        <v>1</v>
      </c>
      <c r="H2221" s="13">
        <f t="shared" si="103"/>
        <v>880.5</v>
      </c>
    </row>
    <row r="2222" spans="1:8" x14ac:dyDescent="0.25">
      <c r="A2222" s="2" t="str">
        <f>"SMAXI-58NW2"</f>
        <v>SMAXI-58NW2</v>
      </c>
      <c r="B2222" s="2" t="str">
        <f>"5223NE4K SuperMaxiLED 58W, 4000K, L=1348mm, mit Treiber, Alu, schwarz"</f>
        <v>5223NE4K SuperMaxiLED 58W, 4000K, L=1348mm, mit Treiber, Alu, schwarz</v>
      </c>
      <c r="C2222" s="16">
        <v>1072.5</v>
      </c>
      <c r="D2222" s="11">
        <v>285</v>
      </c>
      <c r="E2222" s="7">
        <f t="shared" si="101"/>
        <v>1</v>
      </c>
      <c r="F2222" s="22" t="str">
        <f>IF(ISERROR(VLOOKUP($A2222,#REF!,3,0)),"x",VLOOKUP($A2222,#REF!,3,FALSE))</f>
        <v>x</v>
      </c>
      <c r="G2222" s="9">
        <f t="shared" si="102"/>
        <v>1</v>
      </c>
      <c r="H2222" s="13">
        <f t="shared" si="103"/>
        <v>1072.5</v>
      </c>
    </row>
    <row r="2223" spans="1:8" x14ac:dyDescent="0.25">
      <c r="A2223" s="2" t="str">
        <f>"SMAXI-58NW7"</f>
        <v>SMAXI-58NW7</v>
      </c>
      <c r="B2223" s="2" t="str">
        <f>"5223AG4K SuperMaxiLED 58W, 4000K, L=1348mm, mit Treiber, Alu, aluminiumgrau "</f>
        <v xml:space="preserve">5223AG4K SuperMaxiLED 58W, 4000K, L=1348mm, mit Treiber, Alu, aluminiumgrau </v>
      </c>
      <c r="C2223" s="16">
        <v>1072.5</v>
      </c>
      <c r="D2223" s="11">
        <v>285</v>
      </c>
      <c r="E2223" s="7">
        <f t="shared" si="101"/>
        <v>1</v>
      </c>
      <c r="F2223" s="22" t="str">
        <f>IF(ISERROR(VLOOKUP($A2223,#REF!,3,0)),"x",VLOOKUP($A2223,#REF!,3,FALSE))</f>
        <v>x</v>
      </c>
      <c r="G2223" s="9">
        <f t="shared" si="102"/>
        <v>1</v>
      </c>
      <c r="H2223" s="13">
        <f t="shared" si="103"/>
        <v>1072.5</v>
      </c>
    </row>
    <row r="2224" spans="1:8" x14ac:dyDescent="0.25">
      <c r="A2224" s="2" t="str">
        <f>"SMAXI-58WW2"</f>
        <v>SMAXI-58WW2</v>
      </c>
      <c r="B2224" s="2" t="str">
        <f>"5223NE3K SuperMaxiLED 58W, 3000K, L=1348mm, mit Treiber, Alu, schwarz"</f>
        <v>5223NE3K SuperMaxiLED 58W, 3000K, L=1348mm, mit Treiber, Alu, schwarz</v>
      </c>
      <c r="C2224" s="16">
        <v>1072.5</v>
      </c>
      <c r="D2224" s="11">
        <v>285</v>
      </c>
      <c r="E2224" s="7">
        <f t="shared" si="101"/>
        <v>1</v>
      </c>
      <c r="F2224" s="22" t="str">
        <f>IF(ISERROR(VLOOKUP($A2224,#REF!,3,0)),"x",VLOOKUP($A2224,#REF!,3,FALSE))</f>
        <v>x</v>
      </c>
      <c r="G2224" s="9">
        <f t="shared" si="102"/>
        <v>1</v>
      </c>
      <c r="H2224" s="13">
        <f t="shared" si="103"/>
        <v>1072.5</v>
      </c>
    </row>
    <row r="2225" spans="1:8" x14ac:dyDescent="0.25">
      <c r="A2225" s="2" t="str">
        <f>"SMAXI-58WW7"</f>
        <v>SMAXI-58WW7</v>
      </c>
      <c r="B2225" s="2" t="str">
        <f>"5223AG3K SuperMaxiLED 58W, 3000K, L=1348mm, mit Treiber, Alu, aluminiumgrau "</f>
        <v xml:space="preserve">5223AG3K SuperMaxiLED 58W, 3000K, L=1348mm, mit Treiber, Alu, aluminiumgrau </v>
      </c>
      <c r="C2225" s="16">
        <v>1072.5</v>
      </c>
      <c r="D2225" s="11">
        <v>285</v>
      </c>
      <c r="E2225" s="7">
        <f t="shared" si="101"/>
        <v>1</v>
      </c>
      <c r="F2225" s="22" t="str">
        <f>IF(ISERROR(VLOOKUP($A2225,#REF!,3,0)),"x",VLOOKUP($A2225,#REF!,3,FALSE))</f>
        <v>x</v>
      </c>
      <c r="G2225" s="9">
        <f t="shared" si="102"/>
        <v>1</v>
      </c>
      <c r="H2225" s="13">
        <f t="shared" si="103"/>
        <v>1072.5</v>
      </c>
    </row>
    <row r="2226" spans="1:8" x14ac:dyDescent="0.25">
      <c r="A2226" s="2" t="str">
        <f>"SMAXI-69NW2"</f>
        <v>SMAXI-69NW2</v>
      </c>
      <c r="B2226" s="2" t="str">
        <f>"5233NE4K SuperMaxiLED 69W, 4000K, L=1578mm, mit Treiber, Alu, schwarz"</f>
        <v>5233NE4K SuperMaxiLED 69W, 4000K, L=1578mm, mit Treiber, Alu, schwarz</v>
      </c>
      <c r="C2226" s="16">
        <v>1317.5</v>
      </c>
      <c r="D2226" s="11">
        <v>285</v>
      </c>
      <c r="E2226" s="7">
        <f t="shared" si="101"/>
        <v>1</v>
      </c>
      <c r="F2226" s="22" t="str">
        <f>IF(ISERROR(VLOOKUP($A2226,#REF!,3,0)),"x",VLOOKUP($A2226,#REF!,3,FALSE))</f>
        <v>x</v>
      </c>
      <c r="G2226" s="9">
        <f t="shared" si="102"/>
        <v>1</v>
      </c>
      <c r="H2226" s="13">
        <f t="shared" si="103"/>
        <v>1317.5</v>
      </c>
    </row>
    <row r="2227" spans="1:8" x14ac:dyDescent="0.25">
      <c r="A2227" s="2" t="str">
        <f>"SMAXI-69NW7"</f>
        <v>SMAXI-69NW7</v>
      </c>
      <c r="B2227" s="2" t="str">
        <f>"5233AG4K SuperMaxiLED 69W, 4000K, L=1578mm, mit Treiber, Alu, aluminiumgrau "</f>
        <v xml:space="preserve">5233AG4K SuperMaxiLED 69W, 4000K, L=1578mm, mit Treiber, Alu, aluminiumgrau </v>
      </c>
      <c r="C2227" s="16">
        <v>1317.5</v>
      </c>
      <c r="D2227" s="11">
        <v>285</v>
      </c>
      <c r="E2227" s="7">
        <f t="shared" si="101"/>
        <v>1</v>
      </c>
      <c r="F2227" s="22" t="str">
        <f>IF(ISERROR(VLOOKUP($A2227,#REF!,3,0)),"x",VLOOKUP($A2227,#REF!,3,FALSE))</f>
        <v>x</v>
      </c>
      <c r="G2227" s="9">
        <f t="shared" si="102"/>
        <v>1</v>
      </c>
      <c r="H2227" s="13">
        <f t="shared" si="103"/>
        <v>1317.5</v>
      </c>
    </row>
    <row r="2228" spans="1:8" x14ac:dyDescent="0.25">
      <c r="A2228" s="2" t="str">
        <f>"SMAXI-69WW2"</f>
        <v>SMAXI-69WW2</v>
      </c>
      <c r="B2228" s="2" t="str">
        <f>"5233NE3K SuperMaxiLED 69W, 3000K, L=1578mm, mit Treiber, Alu, schwarz"</f>
        <v>5233NE3K SuperMaxiLED 69W, 3000K, L=1578mm, mit Treiber, Alu, schwarz</v>
      </c>
      <c r="C2228" s="16">
        <v>1317.5</v>
      </c>
      <c r="D2228" s="11">
        <v>285</v>
      </c>
      <c r="E2228" s="7">
        <f t="shared" si="101"/>
        <v>1</v>
      </c>
      <c r="F2228" s="22" t="str">
        <f>IF(ISERROR(VLOOKUP($A2228,#REF!,3,0)),"x",VLOOKUP($A2228,#REF!,3,FALSE))</f>
        <v>x</v>
      </c>
      <c r="G2228" s="9">
        <f t="shared" si="102"/>
        <v>1</v>
      </c>
      <c r="H2228" s="13">
        <f t="shared" si="103"/>
        <v>1317.5</v>
      </c>
    </row>
    <row r="2229" spans="1:8" x14ac:dyDescent="0.25">
      <c r="A2229" s="2" t="str">
        <f>"SMAXI-69WW7"</f>
        <v>SMAXI-69WW7</v>
      </c>
      <c r="B2229" s="2" t="str">
        <f>"5233AG3K SuperMaxiLED 69W, 3000K, L=1578mm, mit Treiber, Alu, aluminiumgrau "</f>
        <v xml:space="preserve">5233AG3K SuperMaxiLED 69W, 3000K, L=1578mm, mit Treiber, Alu, aluminiumgrau </v>
      </c>
      <c r="C2229" s="16">
        <v>1317.5</v>
      </c>
      <c r="D2229" s="11">
        <v>285</v>
      </c>
      <c r="E2229" s="7">
        <f t="shared" si="101"/>
        <v>1</v>
      </c>
      <c r="F2229" s="22" t="str">
        <f>IF(ISERROR(VLOOKUP($A2229,#REF!,3,0)),"x",VLOOKUP($A2229,#REF!,3,FALSE))</f>
        <v>x</v>
      </c>
      <c r="G2229" s="9">
        <f t="shared" si="102"/>
        <v>1</v>
      </c>
      <c r="H2229" s="13">
        <f t="shared" si="103"/>
        <v>1317.5</v>
      </c>
    </row>
    <row r="2230" spans="1:8" x14ac:dyDescent="0.25">
      <c r="A2230" s="2" t="str">
        <f>"SO-10NW08-500"</f>
        <v>SO-10NW08-500</v>
      </c>
      <c r="B2230" s="2" t="str">
        <f>"SOFIA Poller-Leuchte, 10W, 4000K, H=500mm, Ø 120 mm, Alu-Druckguss, sand"</f>
        <v>SOFIA Poller-Leuchte, 10W, 4000K, H=500mm, Ø 120 mm, Alu-Druckguss, sand</v>
      </c>
      <c r="C2230" s="16">
        <v>245</v>
      </c>
      <c r="D2230" s="11">
        <v>343</v>
      </c>
      <c r="E2230" s="7">
        <f t="shared" si="101"/>
        <v>1</v>
      </c>
      <c r="F2230" s="22" t="str">
        <f>IF(ISERROR(VLOOKUP($A2230,#REF!,3,0)),"x",VLOOKUP($A2230,#REF!,3,FALSE))</f>
        <v>x</v>
      </c>
      <c r="G2230" s="9">
        <f t="shared" si="102"/>
        <v>1</v>
      </c>
      <c r="H2230" s="13">
        <f t="shared" si="103"/>
        <v>245</v>
      </c>
    </row>
    <row r="2231" spans="1:8" x14ac:dyDescent="0.25">
      <c r="A2231" s="2" t="str">
        <f>"SO-10NW08-800"</f>
        <v>SO-10NW08-800</v>
      </c>
      <c r="B2231" s="2" t="str">
        <f>"SOFIA Poller-Leuchte, 10W, 4000K, H=800mm, Ø 120 mm, Alu-Druckguss, sand"</f>
        <v>SOFIA Poller-Leuchte, 10W, 4000K, H=800mm, Ø 120 mm, Alu-Druckguss, sand</v>
      </c>
      <c r="C2231" s="16">
        <v>275</v>
      </c>
      <c r="D2231" s="11">
        <v>343</v>
      </c>
      <c r="E2231" s="7">
        <f t="shared" si="101"/>
        <v>1</v>
      </c>
      <c r="F2231" s="22" t="str">
        <f>IF(ISERROR(VLOOKUP($A2231,#REF!,3,0)),"x",VLOOKUP($A2231,#REF!,3,FALSE))</f>
        <v>x</v>
      </c>
      <c r="G2231" s="9">
        <f t="shared" si="102"/>
        <v>1</v>
      </c>
      <c r="H2231" s="13">
        <f t="shared" si="103"/>
        <v>275</v>
      </c>
    </row>
    <row r="2232" spans="1:8" x14ac:dyDescent="0.25">
      <c r="A2232" s="2" t="str">
        <f>"SO-10NW1-500"</f>
        <v>SO-10NW1-500</v>
      </c>
      <c r="B2232" s="2" t="str">
        <f>"SOFIA Poller-Leuchte, 10W, 4000K, H=500mm, Ø 120 mm, Alu-Druckguss, weiß"</f>
        <v>SOFIA Poller-Leuchte, 10W, 4000K, H=500mm, Ø 120 mm, Alu-Druckguss, weiß</v>
      </c>
      <c r="C2232" s="16">
        <v>245</v>
      </c>
      <c r="D2232" s="11">
        <v>343</v>
      </c>
      <c r="E2232" s="7">
        <f t="shared" si="101"/>
        <v>1</v>
      </c>
      <c r="F2232" s="22" t="str">
        <f>IF(ISERROR(VLOOKUP($A2232,#REF!,3,0)),"x",VLOOKUP($A2232,#REF!,3,FALSE))</f>
        <v>x</v>
      </c>
      <c r="G2232" s="9">
        <f t="shared" si="102"/>
        <v>1</v>
      </c>
      <c r="H2232" s="13">
        <f t="shared" si="103"/>
        <v>245</v>
      </c>
    </row>
    <row r="2233" spans="1:8" x14ac:dyDescent="0.25">
      <c r="A2233" s="2" t="str">
        <f>"SO-10NW1-800"</f>
        <v>SO-10NW1-800</v>
      </c>
      <c r="B2233" s="2" t="str">
        <f>"SOFIA Poller-Leuchte, 10W, 4000K, H=800mm, Ø 120 mm Alu-Druckguss, weiß"</f>
        <v>SOFIA Poller-Leuchte, 10W, 4000K, H=800mm, Ø 120 mm Alu-Druckguss, weiß</v>
      </c>
      <c r="C2233" s="16">
        <v>275</v>
      </c>
      <c r="D2233" s="11">
        <v>343</v>
      </c>
      <c r="E2233" s="7">
        <f t="shared" si="101"/>
        <v>1</v>
      </c>
      <c r="F2233" s="22" t="str">
        <f>IF(ISERROR(VLOOKUP($A2233,#REF!,3,0)),"x",VLOOKUP($A2233,#REF!,3,FALSE))</f>
        <v>x</v>
      </c>
      <c r="G2233" s="9">
        <f t="shared" si="102"/>
        <v>1</v>
      </c>
      <c r="H2233" s="13">
        <f t="shared" si="103"/>
        <v>275</v>
      </c>
    </row>
    <row r="2234" spans="1:8" x14ac:dyDescent="0.25">
      <c r="A2234" s="2" t="str">
        <f>"SO-10NW6-500"</f>
        <v>SO-10NW6-500</v>
      </c>
      <c r="B2234" s="2" t="str">
        <f>"SOFIA Poller-Leuchte, 10W, 4000K, H=500mm, Ø 120 mm, Alu-Druckguss, anthrazit"</f>
        <v>SOFIA Poller-Leuchte, 10W, 4000K, H=500mm, Ø 120 mm, Alu-Druckguss, anthrazit</v>
      </c>
      <c r="C2234" s="16">
        <v>245</v>
      </c>
      <c r="D2234" s="11">
        <v>343</v>
      </c>
      <c r="E2234" s="7">
        <f t="shared" si="101"/>
        <v>1</v>
      </c>
      <c r="F2234" s="22" t="str">
        <f>IF(ISERROR(VLOOKUP($A2234,#REF!,3,0)),"x",VLOOKUP($A2234,#REF!,3,FALSE))</f>
        <v>x</v>
      </c>
      <c r="G2234" s="9">
        <f t="shared" si="102"/>
        <v>1</v>
      </c>
      <c r="H2234" s="13">
        <f t="shared" si="103"/>
        <v>245</v>
      </c>
    </row>
    <row r="2235" spans="1:8" x14ac:dyDescent="0.25">
      <c r="A2235" s="2" t="str">
        <f>"SO-10NW6-800"</f>
        <v>SO-10NW6-800</v>
      </c>
      <c r="B2235" s="2" t="str">
        <f>"SOFIA Poller-Leuchte, 10W, 4000K, H=800mm, Ø 120 mm, Alu-Druckguss, anthrazit"</f>
        <v>SOFIA Poller-Leuchte, 10W, 4000K, H=800mm, Ø 120 mm, Alu-Druckguss, anthrazit</v>
      </c>
      <c r="C2235" s="16">
        <v>275</v>
      </c>
      <c r="D2235" s="11">
        <v>343</v>
      </c>
      <c r="E2235" s="7">
        <f t="shared" si="101"/>
        <v>1</v>
      </c>
      <c r="F2235" s="22" t="str">
        <f>IF(ISERROR(VLOOKUP($A2235,#REF!,3,0)),"x",VLOOKUP($A2235,#REF!,3,FALSE))</f>
        <v>x</v>
      </c>
      <c r="G2235" s="9">
        <f t="shared" si="102"/>
        <v>1</v>
      </c>
      <c r="H2235" s="13">
        <f t="shared" si="103"/>
        <v>275</v>
      </c>
    </row>
    <row r="2236" spans="1:8" x14ac:dyDescent="0.25">
      <c r="A2236" s="2" t="str">
        <f>"SO-10NW7-500"</f>
        <v>SO-10NW7-500</v>
      </c>
      <c r="B2236" s="2" t="str">
        <f>"SOFIA Poller-Leuchte, 10W, 4000K, H=500mm, Ø 120 mm, Alu-Druckguss, alugrau"</f>
        <v>SOFIA Poller-Leuchte, 10W, 4000K, H=500mm, Ø 120 mm, Alu-Druckguss, alugrau</v>
      </c>
      <c r="C2236" s="16">
        <v>245</v>
      </c>
      <c r="D2236" s="11">
        <v>343</v>
      </c>
      <c r="E2236" s="7">
        <f t="shared" si="101"/>
        <v>1</v>
      </c>
      <c r="F2236" s="22" t="str">
        <f>IF(ISERROR(VLOOKUP($A2236,#REF!,3,0)),"x",VLOOKUP($A2236,#REF!,3,FALSE))</f>
        <v>x</v>
      </c>
      <c r="G2236" s="9">
        <f t="shared" si="102"/>
        <v>1</v>
      </c>
      <c r="H2236" s="13">
        <f t="shared" si="103"/>
        <v>245</v>
      </c>
    </row>
    <row r="2237" spans="1:8" x14ac:dyDescent="0.25">
      <c r="A2237" s="2" t="str">
        <f>"SO-10NW7-800"</f>
        <v>SO-10NW7-800</v>
      </c>
      <c r="B2237" s="2" t="str">
        <f>"SOFIA Poller-Leuchte, 10W, 4000K, H=800mm, Ø 120 mm, Alu-Druckguss, alugrau"</f>
        <v>SOFIA Poller-Leuchte, 10W, 4000K, H=800mm, Ø 120 mm, Alu-Druckguss, alugrau</v>
      </c>
      <c r="C2237" s="16">
        <v>275</v>
      </c>
      <c r="D2237" s="11">
        <v>343</v>
      </c>
      <c r="E2237" s="7">
        <f t="shared" si="101"/>
        <v>1</v>
      </c>
      <c r="F2237" s="22" t="str">
        <f>IF(ISERROR(VLOOKUP($A2237,#REF!,3,0)),"x",VLOOKUP($A2237,#REF!,3,FALSE))</f>
        <v>x</v>
      </c>
      <c r="G2237" s="9">
        <f t="shared" si="102"/>
        <v>1</v>
      </c>
      <c r="H2237" s="13">
        <f t="shared" si="103"/>
        <v>275</v>
      </c>
    </row>
    <row r="2238" spans="1:8" x14ac:dyDescent="0.25">
      <c r="A2238" s="2" t="str">
        <f>"SO-10WW08-500"</f>
        <v>SO-10WW08-500</v>
      </c>
      <c r="B2238" s="2" t="str">
        <f>"SOFIA Poller-Leuchte, 10W, 3000K, H=500mm, Ø 120 mm, Alu-Druckguss, sand"</f>
        <v>SOFIA Poller-Leuchte, 10W, 3000K, H=500mm, Ø 120 mm, Alu-Druckguss, sand</v>
      </c>
      <c r="C2238" s="16">
        <v>245</v>
      </c>
      <c r="D2238" s="11">
        <v>343</v>
      </c>
      <c r="E2238" s="7">
        <f t="shared" si="101"/>
        <v>1</v>
      </c>
      <c r="F2238" s="22" t="str">
        <f>IF(ISERROR(VLOOKUP($A2238,#REF!,3,0)),"x",VLOOKUP($A2238,#REF!,3,FALSE))</f>
        <v>x</v>
      </c>
      <c r="G2238" s="9">
        <f t="shared" si="102"/>
        <v>1</v>
      </c>
      <c r="H2238" s="13">
        <f t="shared" si="103"/>
        <v>245</v>
      </c>
    </row>
    <row r="2239" spans="1:8" x14ac:dyDescent="0.25">
      <c r="A2239" s="2" t="str">
        <f>"SO-10WW08-800"</f>
        <v>SO-10WW08-800</v>
      </c>
      <c r="B2239" s="2" t="str">
        <f>"SOFIA Poller-Leuchte, 10W, 3000K, H=800mm, Ø 120 mm, Alu-Druckguss, sand"</f>
        <v>SOFIA Poller-Leuchte, 10W, 3000K, H=800mm, Ø 120 mm, Alu-Druckguss, sand</v>
      </c>
      <c r="C2239" s="16">
        <v>275</v>
      </c>
      <c r="D2239" s="11">
        <v>343</v>
      </c>
      <c r="E2239" s="7">
        <f t="shared" si="101"/>
        <v>1</v>
      </c>
      <c r="F2239" s="22" t="str">
        <f>IF(ISERROR(VLOOKUP($A2239,#REF!,3,0)),"x",VLOOKUP($A2239,#REF!,3,FALSE))</f>
        <v>x</v>
      </c>
      <c r="G2239" s="9">
        <f t="shared" si="102"/>
        <v>1</v>
      </c>
      <c r="H2239" s="13">
        <f t="shared" si="103"/>
        <v>275</v>
      </c>
    </row>
    <row r="2240" spans="1:8" x14ac:dyDescent="0.25">
      <c r="A2240" s="2" t="str">
        <f>"SO-10WW1-500"</f>
        <v>SO-10WW1-500</v>
      </c>
      <c r="B2240" s="2" t="str">
        <f>"SOFIA Poller-Leuchte, 10W, 3000K, H=500mm, Ø 120 mm, Alu-Druckguss, weiß "</f>
        <v xml:space="preserve">SOFIA Poller-Leuchte, 10W, 3000K, H=500mm, Ø 120 mm, Alu-Druckguss, weiß </v>
      </c>
      <c r="C2240" s="16">
        <v>245</v>
      </c>
      <c r="D2240" s="11">
        <v>343</v>
      </c>
      <c r="E2240" s="7">
        <f t="shared" si="101"/>
        <v>1</v>
      </c>
      <c r="F2240" s="22" t="str">
        <f>IF(ISERROR(VLOOKUP($A2240,#REF!,3,0)),"x",VLOOKUP($A2240,#REF!,3,FALSE))</f>
        <v>x</v>
      </c>
      <c r="G2240" s="9">
        <f t="shared" si="102"/>
        <v>1</v>
      </c>
      <c r="H2240" s="13">
        <f t="shared" si="103"/>
        <v>245</v>
      </c>
    </row>
    <row r="2241" spans="1:8" x14ac:dyDescent="0.25">
      <c r="A2241" s="2" t="str">
        <f>"SO-10WW1-800"</f>
        <v>SO-10WW1-800</v>
      </c>
      <c r="B2241" s="2" t="str">
        <f>"SOFIA Poller-Leuchte, 10W, 3000K, H=800mm, Ø 120 mm, Alu-Druckguss, weiß "</f>
        <v xml:space="preserve">SOFIA Poller-Leuchte, 10W, 3000K, H=800mm, Ø 120 mm, Alu-Druckguss, weiß </v>
      </c>
      <c r="C2241" s="16">
        <v>275</v>
      </c>
      <c r="D2241" s="11">
        <v>343</v>
      </c>
      <c r="E2241" s="7">
        <f t="shared" si="101"/>
        <v>1</v>
      </c>
      <c r="F2241" s="22" t="str">
        <f>IF(ISERROR(VLOOKUP($A2241,#REF!,3,0)),"x",VLOOKUP($A2241,#REF!,3,FALSE))</f>
        <v>x</v>
      </c>
      <c r="G2241" s="9">
        <f t="shared" si="102"/>
        <v>1</v>
      </c>
      <c r="H2241" s="13">
        <f t="shared" si="103"/>
        <v>275</v>
      </c>
    </row>
    <row r="2242" spans="1:8" x14ac:dyDescent="0.25">
      <c r="A2242" s="2" t="str">
        <f>"SO-10WW6-500"</f>
        <v>SO-10WW6-500</v>
      </c>
      <c r="B2242" s="2" t="str">
        <f>"SOFIA Poller-Leuchte, 10W, 3000K, H=500mm, Ø 120 mm, Alu-Druckguss, anthrazit"</f>
        <v>SOFIA Poller-Leuchte, 10W, 3000K, H=500mm, Ø 120 mm, Alu-Druckguss, anthrazit</v>
      </c>
      <c r="C2242" s="16">
        <v>245</v>
      </c>
      <c r="D2242" s="11">
        <v>343</v>
      </c>
      <c r="E2242" s="7">
        <f t="shared" ref="E2242:E2305" si="104">G2242</f>
        <v>1</v>
      </c>
      <c r="F2242" s="22" t="str">
        <f>IF(ISERROR(VLOOKUP($A2242,#REF!,3,0)),"x",VLOOKUP($A2242,#REF!,3,FALSE))</f>
        <v>x</v>
      </c>
      <c r="G2242" s="9">
        <f t="shared" si="102"/>
        <v>1</v>
      </c>
      <c r="H2242" s="13">
        <f t="shared" si="103"/>
        <v>245</v>
      </c>
    </row>
    <row r="2243" spans="1:8" x14ac:dyDescent="0.25">
      <c r="A2243" s="2" t="str">
        <f>"SO-10WW6-800"</f>
        <v>SO-10WW6-800</v>
      </c>
      <c r="B2243" s="2" t="str">
        <f>"SOFIA Poller-Leuchte, 10W, 3000K, H=800mm, Ø 120 mm, Alu-Druckguss, anthrazit"</f>
        <v>SOFIA Poller-Leuchte, 10W, 3000K, H=800mm, Ø 120 mm, Alu-Druckguss, anthrazit</v>
      </c>
      <c r="C2243" s="16">
        <v>275</v>
      </c>
      <c r="D2243" s="11">
        <v>343</v>
      </c>
      <c r="E2243" s="7">
        <f t="shared" si="104"/>
        <v>1</v>
      </c>
      <c r="F2243" s="22" t="str">
        <f>IF(ISERROR(VLOOKUP($A2243,#REF!,3,0)),"x",VLOOKUP($A2243,#REF!,3,FALSE))</f>
        <v>x</v>
      </c>
      <c r="G2243" s="9">
        <f t="shared" ref="G2243:G2306" si="105">IF(C2243&lt;F2243,1,IF(C2243&gt;F2243,-1,0))</f>
        <v>1</v>
      </c>
      <c r="H2243" s="13">
        <f t="shared" si="103"/>
        <v>275</v>
      </c>
    </row>
    <row r="2244" spans="1:8" x14ac:dyDescent="0.25">
      <c r="A2244" s="2" t="str">
        <f>"SO-10WW7-500"</f>
        <v>SO-10WW7-500</v>
      </c>
      <c r="B2244" s="2" t="str">
        <f>"SOFIA Poller-Leuchte, 10W, 3000K, H=500mm, Ø 120 mm, Alu-Druckguss, alugrau"</f>
        <v>SOFIA Poller-Leuchte, 10W, 3000K, H=500mm, Ø 120 mm, Alu-Druckguss, alugrau</v>
      </c>
      <c r="C2244" s="16">
        <v>245</v>
      </c>
      <c r="D2244" s="11">
        <v>343</v>
      </c>
      <c r="E2244" s="7">
        <f t="shared" si="104"/>
        <v>1</v>
      </c>
      <c r="F2244" s="22" t="str">
        <f>IF(ISERROR(VLOOKUP($A2244,#REF!,3,0)),"x",VLOOKUP($A2244,#REF!,3,FALSE))</f>
        <v>x</v>
      </c>
      <c r="G2244" s="9">
        <f t="shared" si="105"/>
        <v>1</v>
      </c>
      <c r="H2244" s="13">
        <f t="shared" si="103"/>
        <v>245</v>
      </c>
    </row>
    <row r="2245" spans="1:8" x14ac:dyDescent="0.25">
      <c r="A2245" s="2" t="str">
        <f>"SO-10WW7-800"</f>
        <v>SO-10WW7-800</v>
      </c>
      <c r="B2245" s="2" t="str">
        <f>"SOFIA Poller-Leuchte, 10W, 3000K, H=800mm, Ø 120 mm, Alu-Druckguss, alugrau"</f>
        <v>SOFIA Poller-Leuchte, 10W, 3000K, H=800mm, Ø 120 mm, Alu-Druckguss, alugrau</v>
      </c>
      <c r="C2245" s="16">
        <v>275</v>
      </c>
      <c r="D2245" s="11">
        <v>343</v>
      </c>
      <c r="E2245" s="7">
        <f t="shared" si="104"/>
        <v>1</v>
      </c>
      <c r="F2245" s="22" t="str">
        <f>IF(ISERROR(VLOOKUP($A2245,#REF!,3,0)),"x",VLOOKUP($A2245,#REF!,3,FALSE))</f>
        <v>x</v>
      </c>
      <c r="G2245" s="9">
        <f t="shared" si="105"/>
        <v>1</v>
      </c>
      <c r="H2245" s="13">
        <f t="shared" ref="H2245:H2308" si="106">IF(F2245="x",C2245,F2245)</f>
        <v>275</v>
      </c>
    </row>
    <row r="2246" spans="1:8" x14ac:dyDescent="0.25">
      <c r="A2246" s="2" t="str">
        <f>"SOF-10NW08-500"</f>
        <v>SOF-10NW08-500</v>
      </c>
      <c r="B2246" s="2" t="str">
        <f>"SOFIA Poller-Leuchte mit Erdspieß, 10W, 4000K, H=500mm, 220-240V, sand"</f>
        <v>SOFIA Poller-Leuchte mit Erdspieß, 10W, 4000K, H=500mm, 220-240V, sand</v>
      </c>
      <c r="C2246" s="16">
        <v>245</v>
      </c>
      <c r="D2246" s="11">
        <v>343</v>
      </c>
      <c r="E2246" s="7">
        <f t="shared" si="104"/>
        <v>1</v>
      </c>
      <c r="F2246" s="22" t="str">
        <f>IF(ISERROR(VLOOKUP($A2246,#REF!,3,0)),"x",VLOOKUP($A2246,#REF!,3,FALSE))</f>
        <v>x</v>
      </c>
      <c r="G2246" s="9">
        <f t="shared" si="105"/>
        <v>1</v>
      </c>
      <c r="H2246" s="13">
        <f t="shared" si="106"/>
        <v>245</v>
      </c>
    </row>
    <row r="2247" spans="1:8" x14ac:dyDescent="0.25">
      <c r="A2247" s="2" t="str">
        <f>"SOF-10NW08-800"</f>
        <v>SOF-10NW08-800</v>
      </c>
      <c r="B2247" s="2" t="str">
        <f>"SOFIA Poller-Leuchte mit Erdspieß, 10W, 4000K, H=800mm, 220-240V, sand"</f>
        <v>SOFIA Poller-Leuchte mit Erdspieß, 10W, 4000K, H=800mm, 220-240V, sand</v>
      </c>
      <c r="C2247" s="16">
        <v>275</v>
      </c>
      <c r="D2247" s="11">
        <v>343</v>
      </c>
      <c r="E2247" s="7">
        <f t="shared" si="104"/>
        <v>1</v>
      </c>
      <c r="F2247" s="22" t="str">
        <f>IF(ISERROR(VLOOKUP($A2247,#REF!,3,0)),"x",VLOOKUP($A2247,#REF!,3,FALSE))</f>
        <v>x</v>
      </c>
      <c r="G2247" s="9">
        <f t="shared" si="105"/>
        <v>1</v>
      </c>
      <c r="H2247" s="13">
        <f t="shared" si="106"/>
        <v>275</v>
      </c>
    </row>
    <row r="2248" spans="1:8" x14ac:dyDescent="0.25">
      <c r="A2248" s="2" t="str">
        <f>"SOF-10NW1-500"</f>
        <v>SOF-10NW1-500</v>
      </c>
      <c r="B2248" s="2" t="str">
        <f>"SOFIA Poller-Leuchte mit Erdspieß, 10W, 4000K, H=500mm, 220-240V, weiß"</f>
        <v>SOFIA Poller-Leuchte mit Erdspieß, 10W, 4000K, H=500mm, 220-240V, weiß</v>
      </c>
      <c r="C2248" s="16">
        <v>245</v>
      </c>
      <c r="D2248" s="11">
        <v>343</v>
      </c>
      <c r="E2248" s="7">
        <f t="shared" si="104"/>
        <v>1</v>
      </c>
      <c r="F2248" s="22" t="str">
        <f>IF(ISERROR(VLOOKUP($A2248,#REF!,3,0)),"x",VLOOKUP($A2248,#REF!,3,FALSE))</f>
        <v>x</v>
      </c>
      <c r="G2248" s="9">
        <f t="shared" si="105"/>
        <v>1</v>
      </c>
      <c r="H2248" s="13">
        <f t="shared" si="106"/>
        <v>245</v>
      </c>
    </row>
    <row r="2249" spans="1:8" x14ac:dyDescent="0.25">
      <c r="A2249" s="2" t="str">
        <f>"SOF-10NW1-800"</f>
        <v>SOF-10NW1-800</v>
      </c>
      <c r="B2249" s="2" t="str">
        <f>"SOFIA Poller-Leuchte mit Erdspieß, 10W, 4000K, H=800mm, 220-240V, weiß"</f>
        <v>SOFIA Poller-Leuchte mit Erdspieß, 10W, 4000K, H=800mm, 220-240V, weiß</v>
      </c>
      <c r="C2249" s="16">
        <v>275</v>
      </c>
      <c r="D2249" s="11">
        <v>343</v>
      </c>
      <c r="E2249" s="7">
        <f t="shared" si="104"/>
        <v>1</v>
      </c>
      <c r="F2249" s="22" t="str">
        <f>IF(ISERROR(VLOOKUP($A2249,#REF!,3,0)),"x",VLOOKUP($A2249,#REF!,3,FALSE))</f>
        <v>x</v>
      </c>
      <c r="G2249" s="9">
        <f t="shared" si="105"/>
        <v>1</v>
      </c>
      <c r="H2249" s="13">
        <f t="shared" si="106"/>
        <v>275</v>
      </c>
    </row>
    <row r="2250" spans="1:8" x14ac:dyDescent="0.25">
      <c r="A2250" s="2" t="str">
        <f>"SOF-10NW6-500"</f>
        <v>SOF-10NW6-500</v>
      </c>
      <c r="B2250" s="2" t="str">
        <f>"SOFIA Poller-Leuchte mit Erdspieß, 10W, 4000K, H=500mm, 220-240V, anthrazit"</f>
        <v>SOFIA Poller-Leuchte mit Erdspieß, 10W, 4000K, H=500mm, 220-240V, anthrazit</v>
      </c>
      <c r="C2250" s="16">
        <v>245</v>
      </c>
      <c r="D2250" s="11">
        <v>343</v>
      </c>
      <c r="E2250" s="7">
        <f t="shared" si="104"/>
        <v>1</v>
      </c>
      <c r="F2250" s="22" t="str">
        <f>IF(ISERROR(VLOOKUP($A2250,#REF!,3,0)),"x",VLOOKUP($A2250,#REF!,3,FALSE))</f>
        <v>x</v>
      </c>
      <c r="G2250" s="9">
        <f t="shared" si="105"/>
        <v>1</v>
      </c>
      <c r="H2250" s="13">
        <f t="shared" si="106"/>
        <v>245</v>
      </c>
    </row>
    <row r="2251" spans="1:8" x14ac:dyDescent="0.25">
      <c r="A2251" s="2" t="str">
        <f>"SOF-10NW6-800"</f>
        <v>SOF-10NW6-800</v>
      </c>
      <c r="B2251" s="2" t="str">
        <f>"SOFIA Poller-Leuchte mit Erdspieß, 10W, 4000K, H=800mm, 220-240V, anthrazit"</f>
        <v>SOFIA Poller-Leuchte mit Erdspieß, 10W, 4000K, H=800mm, 220-240V, anthrazit</v>
      </c>
      <c r="C2251" s="16">
        <v>275</v>
      </c>
      <c r="D2251" s="11">
        <v>343</v>
      </c>
      <c r="E2251" s="7">
        <f t="shared" si="104"/>
        <v>1</v>
      </c>
      <c r="F2251" s="22" t="str">
        <f>IF(ISERROR(VLOOKUP($A2251,#REF!,3,0)),"x",VLOOKUP($A2251,#REF!,3,FALSE))</f>
        <v>x</v>
      </c>
      <c r="G2251" s="9">
        <f t="shared" si="105"/>
        <v>1</v>
      </c>
      <c r="H2251" s="13">
        <f t="shared" si="106"/>
        <v>275</v>
      </c>
    </row>
    <row r="2252" spans="1:8" x14ac:dyDescent="0.25">
      <c r="A2252" s="2" t="str">
        <f>"SOF-10NW7-500"</f>
        <v>SOF-10NW7-500</v>
      </c>
      <c r="B2252" s="2" t="str">
        <f>"SOFIA Poller-Leuchte mit Erdspieß, 10W, 4000K, H=500mm, 220-240V, alugrau"</f>
        <v>SOFIA Poller-Leuchte mit Erdspieß, 10W, 4000K, H=500mm, 220-240V, alugrau</v>
      </c>
      <c r="C2252" s="16">
        <v>245</v>
      </c>
      <c r="D2252" s="11">
        <v>343</v>
      </c>
      <c r="E2252" s="7">
        <f t="shared" si="104"/>
        <v>1</v>
      </c>
      <c r="F2252" s="22" t="str">
        <f>IF(ISERROR(VLOOKUP($A2252,#REF!,3,0)),"x",VLOOKUP($A2252,#REF!,3,FALSE))</f>
        <v>x</v>
      </c>
      <c r="G2252" s="9">
        <f t="shared" si="105"/>
        <v>1</v>
      </c>
      <c r="H2252" s="13">
        <f t="shared" si="106"/>
        <v>245</v>
      </c>
    </row>
    <row r="2253" spans="1:8" x14ac:dyDescent="0.25">
      <c r="A2253" s="2" t="str">
        <f>"SOF-10NW7-800"</f>
        <v>SOF-10NW7-800</v>
      </c>
      <c r="B2253" s="2" t="str">
        <f>"SOFIA Poller-Leuchte mit Erdspieß, 10W, 4000K, H=800mm, 220-240V, alugrau"</f>
        <v>SOFIA Poller-Leuchte mit Erdspieß, 10W, 4000K, H=800mm, 220-240V, alugrau</v>
      </c>
      <c r="C2253" s="16">
        <v>275</v>
      </c>
      <c r="D2253" s="11">
        <v>343</v>
      </c>
      <c r="E2253" s="7">
        <f t="shared" si="104"/>
        <v>1</v>
      </c>
      <c r="F2253" s="22" t="str">
        <f>IF(ISERROR(VLOOKUP($A2253,#REF!,3,0)),"x",VLOOKUP($A2253,#REF!,3,FALSE))</f>
        <v>x</v>
      </c>
      <c r="G2253" s="9">
        <f t="shared" si="105"/>
        <v>1</v>
      </c>
      <c r="H2253" s="13">
        <f t="shared" si="106"/>
        <v>275</v>
      </c>
    </row>
    <row r="2254" spans="1:8" x14ac:dyDescent="0.25">
      <c r="A2254" s="2" t="str">
        <f>"SOF-10WW08-500"</f>
        <v>SOF-10WW08-500</v>
      </c>
      <c r="B2254" s="2" t="str">
        <f>"SOFIA Poller-Leuchte mit Erdspieß, 10W, 3000K, H=500mm, 220-240V, sand"</f>
        <v>SOFIA Poller-Leuchte mit Erdspieß, 10W, 3000K, H=500mm, 220-240V, sand</v>
      </c>
      <c r="C2254" s="16">
        <v>245</v>
      </c>
      <c r="D2254" s="11">
        <v>343</v>
      </c>
      <c r="E2254" s="7">
        <f t="shared" si="104"/>
        <v>1</v>
      </c>
      <c r="F2254" s="22" t="str">
        <f>IF(ISERROR(VLOOKUP($A2254,#REF!,3,0)),"x",VLOOKUP($A2254,#REF!,3,FALSE))</f>
        <v>x</v>
      </c>
      <c r="G2254" s="9">
        <f t="shared" si="105"/>
        <v>1</v>
      </c>
      <c r="H2254" s="13">
        <f t="shared" si="106"/>
        <v>245</v>
      </c>
    </row>
    <row r="2255" spans="1:8" x14ac:dyDescent="0.25">
      <c r="A2255" s="2" t="str">
        <f>"SOF-10WW08-800"</f>
        <v>SOF-10WW08-800</v>
      </c>
      <c r="B2255" s="2" t="str">
        <f>"SOFIA Poller-Leuchte mit Erdspieß, 10W, 3000K, H=800mm, 220-240V, sand"</f>
        <v>SOFIA Poller-Leuchte mit Erdspieß, 10W, 3000K, H=800mm, 220-240V, sand</v>
      </c>
      <c r="C2255" s="16">
        <v>275</v>
      </c>
      <c r="D2255" s="11">
        <v>343</v>
      </c>
      <c r="E2255" s="7">
        <f t="shared" si="104"/>
        <v>1</v>
      </c>
      <c r="F2255" s="22" t="str">
        <f>IF(ISERROR(VLOOKUP($A2255,#REF!,3,0)),"x",VLOOKUP($A2255,#REF!,3,FALSE))</f>
        <v>x</v>
      </c>
      <c r="G2255" s="9">
        <f t="shared" si="105"/>
        <v>1</v>
      </c>
      <c r="H2255" s="13">
        <f t="shared" si="106"/>
        <v>275</v>
      </c>
    </row>
    <row r="2256" spans="1:8" x14ac:dyDescent="0.25">
      <c r="A2256" s="2" t="str">
        <f>"SOF-10WW1-500"</f>
        <v>SOF-10WW1-500</v>
      </c>
      <c r="B2256" s="2" t="str">
        <f>"SOFIA Poller-Leuchte mit Erdspieß, 10W, 3000K, H=500mm, 220-240V, weiß"</f>
        <v>SOFIA Poller-Leuchte mit Erdspieß, 10W, 3000K, H=500mm, 220-240V, weiß</v>
      </c>
      <c r="C2256" s="16">
        <v>245</v>
      </c>
      <c r="D2256" s="11">
        <v>343</v>
      </c>
      <c r="E2256" s="7">
        <f t="shared" si="104"/>
        <v>1</v>
      </c>
      <c r="F2256" s="22" t="str">
        <f>IF(ISERROR(VLOOKUP($A2256,#REF!,3,0)),"x",VLOOKUP($A2256,#REF!,3,FALSE))</f>
        <v>x</v>
      </c>
      <c r="G2256" s="9">
        <f t="shared" si="105"/>
        <v>1</v>
      </c>
      <c r="H2256" s="13">
        <f t="shared" si="106"/>
        <v>245</v>
      </c>
    </row>
    <row r="2257" spans="1:8" x14ac:dyDescent="0.25">
      <c r="A2257" s="2" t="str">
        <f>"SOF-10WW1-800"</f>
        <v>SOF-10WW1-800</v>
      </c>
      <c r="B2257" s="2" t="str">
        <f>"SOFIA Poller-Leuchte mit Erdspieß, 10W, 3000K, H=800mm, 220-240V, weiß"</f>
        <v>SOFIA Poller-Leuchte mit Erdspieß, 10W, 3000K, H=800mm, 220-240V, weiß</v>
      </c>
      <c r="C2257" s="16">
        <v>275</v>
      </c>
      <c r="D2257" s="11">
        <v>343</v>
      </c>
      <c r="E2257" s="7">
        <f t="shared" si="104"/>
        <v>1</v>
      </c>
      <c r="F2257" s="22" t="str">
        <f>IF(ISERROR(VLOOKUP($A2257,#REF!,3,0)),"x",VLOOKUP($A2257,#REF!,3,FALSE))</f>
        <v>x</v>
      </c>
      <c r="G2257" s="9">
        <f t="shared" si="105"/>
        <v>1</v>
      </c>
      <c r="H2257" s="13">
        <f t="shared" si="106"/>
        <v>275</v>
      </c>
    </row>
    <row r="2258" spans="1:8" x14ac:dyDescent="0.25">
      <c r="A2258" s="2" t="str">
        <f>"SOF-10WW6-500"</f>
        <v>SOF-10WW6-500</v>
      </c>
      <c r="B2258" s="2" t="str">
        <f>"SOFIA Poller-Leuchte mit Erdspieß, 10W, 3000K, H=500mm, 220-240V, anthrazit"</f>
        <v>SOFIA Poller-Leuchte mit Erdspieß, 10W, 3000K, H=500mm, 220-240V, anthrazit</v>
      </c>
      <c r="C2258" s="16">
        <v>245</v>
      </c>
      <c r="D2258" s="11">
        <v>343</v>
      </c>
      <c r="E2258" s="7">
        <f t="shared" si="104"/>
        <v>1</v>
      </c>
      <c r="F2258" s="22" t="str">
        <f>IF(ISERROR(VLOOKUP($A2258,#REF!,3,0)),"x",VLOOKUP($A2258,#REF!,3,FALSE))</f>
        <v>x</v>
      </c>
      <c r="G2258" s="9">
        <f t="shared" si="105"/>
        <v>1</v>
      </c>
      <c r="H2258" s="13">
        <f t="shared" si="106"/>
        <v>245</v>
      </c>
    </row>
    <row r="2259" spans="1:8" x14ac:dyDescent="0.25">
      <c r="A2259" s="2" t="str">
        <f>"SOF-10WW6-800"</f>
        <v>SOF-10WW6-800</v>
      </c>
      <c r="B2259" s="2" t="str">
        <f>"SOFIA Poller-Leuchte mit Erdspieß, 10W, 3000K, H=800mm, 220-240V, anthrazit"</f>
        <v>SOFIA Poller-Leuchte mit Erdspieß, 10W, 3000K, H=800mm, 220-240V, anthrazit</v>
      </c>
      <c r="C2259" s="16">
        <v>275</v>
      </c>
      <c r="D2259" s="11">
        <v>343</v>
      </c>
      <c r="E2259" s="7">
        <f t="shared" si="104"/>
        <v>1</v>
      </c>
      <c r="F2259" s="22" t="str">
        <f>IF(ISERROR(VLOOKUP($A2259,#REF!,3,0)),"x",VLOOKUP($A2259,#REF!,3,FALSE))</f>
        <v>x</v>
      </c>
      <c r="G2259" s="9">
        <f t="shared" si="105"/>
        <v>1</v>
      </c>
      <c r="H2259" s="13">
        <f t="shared" si="106"/>
        <v>275</v>
      </c>
    </row>
    <row r="2260" spans="1:8" x14ac:dyDescent="0.25">
      <c r="A2260" s="2" t="str">
        <f>"SOF-10WW7-500"</f>
        <v>SOF-10WW7-500</v>
      </c>
      <c r="B2260" s="2" t="str">
        <f>"SOFIA Poller-Leuchte mit Erdspieß, 10W, 3000K, H=500mm, 220-240V, alugrau"</f>
        <v>SOFIA Poller-Leuchte mit Erdspieß, 10W, 3000K, H=500mm, 220-240V, alugrau</v>
      </c>
      <c r="C2260" s="16">
        <v>245</v>
      </c>
      <c r="D2260" s="11">
        <v>343</v>
      </c>
      <c r="E2260" s="7">
        <f t="shared" si="104"/>
        <v>1</v>
      </c>
      <c r="F2260" s="22" t="str">
        <f>IF(ISERROR(VLOOKUP($A2260,#REF!,3,0)),"x",VLOOKUP($A2260,#REF!,3,FALSE))</f>
        <v>x</v>
      </c>
      <c r="G2260" s="9">
        <f t="shared" si="105"/>
        <v>1</v>
      </c>
      <c r="H2260" s="13">
        <f t="shared" si="106"/>
        <v>245</v>
      </c>
    </row>
    <row r="2261" spans="1:8" x14ac:dyDescent="0.25">
      <c r="A2261" s="2" t="str">
        <f>"SOF-10WW7-800"</f>
        <v>SOF-10WW7-800</v>
      </c>
      <c r="B2261" s="2" t="str">
        <f>"SOFIA Poller-Leuchte mit Erdspieß, 10W, 3000K, H=800mm, 220-240V, alugrau"</f>
        <v>SOFIA Poller-Leuchte mit Erdspieß, 10W, 3000K, H=800mm, 220-240V, alugrau</v>
      </c>
      <c r="C2261" s="16">
        <v>275</v>
      </c>
      <c r="D2261" s="11">
        <v>343</v>
      </c>
      <c r="E2261" s="7">
        <f t="shared" si="104"/>
        <v>1</v>
      </c>
      <c r="F2261" s="22" t="str">
        <f>IF(ISERROR(VLOOKUP($A2261,#REF!,3,0)),"x",VLOOKUP($A2261,#REF!,3,FALSE))</f>
        <v>x</v>
      </c>
      <c r="G2261" s="9">
        <f t="shared" si="105"/>
        <v>1</v>
      </c>
      <c r="H2261" s="13">
        <f t="shared" si="106"/>
        <v>275</v>
      </c>
    </row>
    <row r="2262" spans="1:8" x14ac:dyDescent="0.25">
      <c r="A2262" s="2" t="str">
        <f>"SQUE-1WW7"</f>
        <v>SQUE-1WW7</v>
      </c>
      <c r="B2262" s="2" t="str">
        <f>"1453AG3K Squeeze Bodenleuchte, Ø77, LED, 1x4W, 3000K, Gehäuse aluminiumgrau "</f>
        <v xml:space="preserve">1453AG3K Squeeze Bodenleuchte, Ø77, LED, 1x4W, 3000K, Gehäuse aluminiumgrau </v>
      </c>
      <c r="C2262" s="16">
        <v>255.5</v>
      </c>
      <c r="D2262" s="11">
        <v>235</v>
      </c>
      <c r="E2262" s="7">
        <f t="shared" si="104"/>
        <v>1</v>
      </c>
      <c r="F2262" s="22" t="str">
        <f>IF(ISERROR(VLOOKUP($A2262,#REF!,3,0)),"x",VLOOKUP($A2262,#REF!,3,FALSE))</f>
        <v>x</v>
      </c>
      <c r="G2262" s="9">
        <f t="shared" si="105"/>
        <v>1</v>
      </c>
      <c r="H2262" s="13">
        <f t="shared" si="106"/>
        <v>255.5</v>
      </c>
    </row>
    <row r="2263" spans="1:8" x14ac:dyDescent="0.25">
      <c r="A2263" s="2" t="str">
        <f>"SQUE180-2WW7"</f>
        <v>SQUE180-2WW7</v>
      </c>
      <c r="B2263" s="2" t="str">
        <f>"1458AG3K Squeeze Bodenleuchte, Ø180, LED, 16W, 3000K, Gehäuse aluminiumgrau"</f>
        <v>1458AG3K Squeeze Bodenleuchte, Ø180, LED, 16W, 3000K, Gehäuse aluminiumgrau</v>
      </c>
      <c r="C2263" s="16">
        <v>372.5</v>
      </c>
      <c r="D2263" s="11">
        <v>235</v>
      </c>
      <c r="E2263" s="7">
        <f t="shared" si="104"/>
        <v>1</v>
      </c>
      <c r="F2263" s="22" t="str">
        <f>IF(ISERROR(VLOOKUP($A2263,#REF!,3,0)),"x",VLOOKUP($A2263,#REF!,3,FALSE))</f>
        <v>x</v>
      </c>
      <c r="G2263" s="9">
        <f t="shared" si="105"/>
        <v>1</v>
      </c>
      <c r="H2263" s="13">
        <f t="shared" si="106"/>
        <v>372.5</v>
      </c>
    </row>
    <row r="2264" spans="1:8" x14ac:dyDescent="0.25">
      <c r="A2264" s="2" t="str">
        <f>"STAMP1-3NW6"</f>
        <v>STAMP1-3NW6</v>
      </c>
      <c r="B2264" s="2" t="str">
        <f>"5335AN4K STAMP Markierungsleuchte LED, 4000K, 3W, 1 Lichtaustritt, anthrazit"</f>
        <v>5335AN4K STAMP Markierungsleuchte LED, 4000K, 3W, 1 Lichtaustritt, anthrazit</v>
      </c>
      <c r="C2264" s="16">
        <v>182.5</v>
      </c>
      <c r="D2264" s="11">
        <v>261</v>
      </c>
      <c r="E2264" s="7">
        <f t="shared" si="104"/>
        <v>1</v>
      </c>
      <c r="F2264" s="22" t="str">
        <f>IF(ISERROR(VLOOKUP($A2264,#REF!,3,0)),"x",VLOOKUP($A2264,#REF!,3,FALSE))</f>
        <v>x</v>
      </c>
      <c r="G2264" s="9">
        <f t="shared" si="105"/>
        <v>1</v>
      </c>
      <c r="H2264" s="13">
        <f t="shared" si="106"/>
        <v>182.5</v>
      </c>
    </row>
    <row r="2265" spans="1:8" x14ac:dyDescent="0.25">
      <c r="A2265" s="2" t="str">
        <f>"STAMP1-3NW7"</f>
        <v>STAMP1-3NW7</v>
      </c>
      <c r="B2265" s="2" t="str">
        <f>"5335AG4K STAMP Markierungsleuchte LED, 4000K, 3W, 1 Lichtaustritt, aluminiumgrau"</f>
        <v>5335AG4K STAMP Markierungsleuchte LED, 4000K, 3W, 1 Lichtaustritt, aluminiumgrau</v>
      </c>
      <c r="C2265" s="16">
        <v>182.5</v>
      </c>
      <c r="D2265" s="11">
        <v>261</v>
      </c>
      <c r="E2265" s="7">
        <f t="shared" si="104"/>
        <v>1</v>
      </c>
      <c r="F2265" s="22" t="str">
        <f>IF(ISERROR(VLOOKUP($A2265,#REF!,3,0)),"x",VLOOKUP($A2265,#REF!,3,FALSE))</f>
        <v>x</v>
      </c>
      <c r="G2265" s="9">
        <f t="shared" si="105"/>
        <v>1</v>
      </c>
      <c r="H2265" s="13">
        <f t="shared" si="106"/>
        <v>182.5</v>
      </c>
    </row>
    <row r="2266" spans="1:8" x14ac:dyDescent="0.25">
      <c r="A2266" s="2" t="str">
        <f>"STAMP1-3WW6"</f>
        <v>STAMP1-3WW6</v>
      </c>
      <c r="B2266" s="2" t="str">
        <f>"5335AN3K STAMP Markierungsleuchte LED, 3000K, 3W, 1 Lichtaustritt, anthrazit"</f>
        <v>5335AN3K STAMP Markierungsleuchte LED, 3000K, 3W, 1 Lichtaustritt, anthrazit</v>
      </c>
      <c r="C2266" s="16">
        <v>182.5</v>
      </c>
      <c r="D2266" s="11">
        <v>261</v>
      </c>
      <c r="E2266" s="7">
        <f t="shared" si="104"/>
        <v>1</v>
      </c>
      <c r="F2266" s="22" t="str">
        <f>IF(ISERROR(VLOOKUP($A2266,#REF!,3,0)),"x",VLOOKUP($A2266,#REF!,3,FALSE))</f>
        <v>x</v>
      </c>
      <c r="G2266" s="9">
        <f t="shared" si="105"/>
        <v>1</v>
      </c>
      <c r="H2266" s="13">
        <f t="shared" si="106"/>
        <v>182.5</v>
      </c>
    </row>
    <row r="2267" spans="1:8" x14ac:dyDescent="0.25">
      <c r="A2267" s="2" t="str">
        <f>"STAMP1-3WW7"</f>
        <v>STAMP1-3WW7</v>
      </c>
      <c r="B2267" s="2" t="str">
        <f>"5335AG3K STAMP Markierungsleuchte LED, 3000K, 3W, 1 Lichtaustritt, aluminiumgrau"</f>
        <v>5335AG3K STAMP Markierungsleuchte LED, 3000K, 3W, 1 Lichtaustritt, aluminiumgrau</v>
      </c>
      <c r="C2267" s="16">
        <v>182.5</v>
      </c>
      <c r="D2267" s="11">
        <v>261</v>
      </c>
      <c r="E2267" s="7">
        <f t="shared" si="104"/>
        <v>1</v>
      </c>
      <c r="F2267" s="22" t="str">
        <f>IF(ISERROR(VLOOKUP($A2267,#REF!,3,0)),"x",VLOOKUP($A2267,#REF!,3,FALSE))</f>
        <v>x</v>
      </c>
      <c r="G2267" s="9">
        <f t="shared" si="105"/>
        <v>1</v>
      </c>
      <c r="H2267" s="13">
        <f t="shared" si="106"/>
        <v>182.5</v>
      </c>
    </row>
    <row r="2268" spans="1:8" x14ac:dyDescent="0.25">
      <c r="A2268" s="2" t="str">
        <f>"STAMP2-6NW6"</f>
        <v>STAMP2-6NW6</v>
      </c>
      <c r="B2268" s="2" t="str">
        <f>"5336AN4K STAMP Markierungsleuchte LED, 4000K, 2x3W, 2 Lichtaustr., anthrazit"</f>
        <v>5336AN4K STAMP Markierungsleuchte LED, 4000K, 2x3W, 2 Lichtaustr., anthrazit</v>
      </c>
      <c r="C2268" s="16">
        <v>232</v>
      </c>
      <c r="D2268" s="11">
        <v>261</v>
      </c>
      <c r="E2268" s="7">
        <f t="shared" si="104"/>
        <v>1</v>
      </c>
      <c r="F2268" s="22" t="str">
        <f>IF(ISERROR(VLOOKUP($A2268,#REF!,3,0)),"x",VLOOKUP($A2268,#REF!,3,FALSE))</f>
        <v>x</v>
      </c>
      <c r="G2268" s="9">
        <f t="shared" si="105"/>
        <v>1</v>
      </c>
      <c r="H2268" s="13">
        <f t="shared" si="106"/>
        <v>232</v>
      </c>
    </row>
    <row r="2269" spans="1:8" x14ac:dyDescent="0.25">
      <c r="A2269" s="2" t="str">
        <f>"STAMP2-6NW7"</f>
        <v>STAMP2-6NW7</v>
      </c>
      <c r="B2269" s="2" t="str">
        <f>"5336AG4K STAMP Markierungsleuchte LED, 4000K, 2x3W, 2 Lichtaustr., aluminiumgrau"</f>
        <v>5336AG4K STAMP Markierungsleuchte LED, 4000K, 2x3W, 2 Lichtaustr., aluminiumgrau</v>
      </c>
      <c r="C2269" s="16">
        <v>232</v>
      </c>
      <c r="D2269" s="11">
        <v>261</v>
      </c>
      <c r="E2269" s="7">
        <f t="shared" si="104"/>
        <v>1</v>
      </c>
      <c r="F2269" s="22" t="str">
        <f>IF(ISERROR(VLOOKUP($A2269,#REF!,3,0)),"x",VLOOKUP($A2269,#REF!,3,FALSE))</f>
        <v>x</v>
      </c>
      <c r="G2269" s="9">
        <f t="shared" si="105"/>
        <v>1</v>
      </c>
      <c r="H2269" s="13">
        <f t="shared" si="106"/>
        <v>232</v>
      </c>
    </row>
    <row r="2270" spans="1:8" x14ac:dyDescent="0.25">
      <c r="A2270" s="2" t="str">
        <f>"STAMP2-6WW6"</f>
        <v>STAMP2-6WW6</v>
      </c>
      <c r="B2270" s="2" t="str">
        <f>"5336AN3K STAMP Markierungsleuchte LED, 3000K, 2x3W, 2 Lichtaustr. anthrazit"</f>
        <v>5336AN3K STAMP Markierungsleuchte LED, 3000K, 2x3W, 2 Lichtaustr. anthrazit</v>
      </c>
      <c r="C2270" s="16">
        <v>232</v>
      </c>
      <c r="D2270" s="11">
        <v>261</v>
      </c>
      <c r="E2270" s="7">
        <f t="shared" si="104"/>
        <v>1</v>
      </c>
      <c r="F2270" s="22" t="str">
        <f>IF(ISERROR(VLOOKUP($A2270,#REF!,3,0)),"x",VLOOKUP($A2270,#REF!,3,FALSE))</f>
        <v>x</v>
      </c>
      <c r="G2270" s="9">
        <f t="shared" si="105"/>
        <v>1</v>
      </c>
      <c r="H2270" s="13">
        <f t="shared" si="106"/>
        <v>232</v>
      </c>
    </row>
    <row r="2271" spans="1:8" x14ac:dyDescent="0.25">
      <c r="A2271" s="2" t="str">
        <f>"STAMP2-6WW7"</f>
        <v>STAMP2-6WW7</v>
      </c>
      <c r="B2271" s="2" t="str">
        <f>"5336AG3K STAMP Markierungsleuchte, LED, 3000K, 2x3W, 2 Lichtaustr., aluminiumgra"</f>
        <v>5336AG3K STAMP Markierungsleuchte, LED, 3000K, 2x3W, 2 Lichtaustr., aluminiumgra</v>
      </c>
      <c r="C2271" s="16">
        <v>232</v>
      </c>
      <c r="D2271" s="11">
        <v>261</v>
      </c>
      <c r="E2271" s="7">
        <f t="shared" si="104"/>
        <v>1</v>
      </c>
      <c r="F2271" s="22" t="str">
        <f>IF(ISERROR(VLOOKUP($A2271,#REF!,3,0)),"x",VLOOKUP($A2271,#REF!,3,FALSE))</f>
        <v>x</v>
      </c>
      <c r="G2271" s="9">
        <f t="shared" si="105"/>
        <v>1</v>
      </c>
      <c r="H2271" s="13">
        <f t="shared" si="106"/>
        <v>232</v>
      </c>
    </row>
    <row r="2272" spans="1:8" x14ac:dyDescent="0.25">
      <c r="A2272" s="2" t="str">
        <f>"STAMPA-4NW6"</f>
        <v>STAMPA-4NW6</v>
      </c>
      <c r="B2272" s="2" t="str">
        <f>"5321AN4K STAMP Markierungsleuchte, LED, 4000K, 4,5W, anthrazit"</f>
        <v>5321AN4K STAMP Markierungsleuchte, LED, 4000K, 4,5W, anthrazit</v>
      </c>
      <c r="C2272" s="16">
        <v>207.5</v>
      </c>
      <c r="D2272" s="11">
        <v>261</v>
      </c>
      <c r="E2272" s="7">
        <f t="shared" si="104"/>
        <v>1</v>
      </c>
      <c r="F2272" s="22" t="str">
        <f>IF(ISERROR(VLOOKUP($A2272,#REF!,3,0)),"x",VLOOKUP($A2272,#REF!,3,FALSE))</f>
        <v>x</v>
      </c>
      <c r="G2272" s="9">
        <f t="shared" si="105"/>
        <v>1</v>
      </c>
      <c r="H2272" s="13">
        <f t="shared" si="106"/>
        <v>207.5</v>
      </c>
    </row>
    <row r="2273" spans="1:8" x14ac:dyDescent="0.25">
      <c r="A2273" s="2" t="str">
        <f>"STAMPA-4NW7"</f>
        <v>STAMPA-4NW7</v>
      </c>
      <c r="B2273" s="2" t="str">
        <f>"5321AG4K STAMP Markierungsleuchte, LED, 4000K, 4,5W, aluminiumgrau"</f>
        <v>5321AG4K STAMP Markierungsleuchte, LED, 4000K, 4,5W, aluminiumgrau</v>
      </c>
      <c r="C2273" s="16">
        <v>207.5</v>
      </c>
      <c r="D2273" s="11">
        <v>261</v>
      </c>
      <c r="E2273" s="7">
        <f t="shared" si="104"/>
        <v>1</v>
      </c>
      <c r="F2273" s="22" t="str">
        <f>IF(ISERROR(VLOOKUP($A2273,#REF!,3,0)),"x",VLOOKUP($A2273,#REF!,3,FALSE))</f>
        <v>x</v>
      </c>
      <c r="G2273" s="9">
        <f t="shared" si="105"/>
        <v>1</v>
      </c>
      <c r="H2273" s="13">
        <f t="shared" si="106"/>
        <v>207.5</v>
      </c>
    </row>
    <row r="2274" spans="1:8" x14ac:dyDescent="0.25">
      <c r="A2274" s="2" t="str">
        <f>"STAMPA-4WW6"</f>
        <v>STAMPA-4WW6</v>
      </c>
      <c r="B2274" s="2" t="str">
        <f>"5321AN3K STAMP Markierungsleuchte, LED, 3000K, 4,5W, anthrazit"</f>
        <v>5321AN3K STAMP Markierungsleuchte, LED, 3000K, 4,5W, anthrazit</v>
      </c>
      <c r="C2274" s="16">
        <v>207.5</v>
      </c>
      <c r="D2274" s="11">
        <v>261</v>
      </c>
      <c r="E2274" s="7">
        <f t="shared" si="104"/>
        <v>1</v>
      </c>
      <c r="F2274" s="22" t="str">
        <f>IF(ISERROR(VLOOKUP($A2274,#REF!,3,0)),"x",VLOOKUP($A2274,#REF!,3,FALSE))</f>
        <v>x</v>
      </c>
      <c r="G2274" s="9">
        <f t="shared" si="105"/>
        <v>1</v>
      </c>
      <c r="H2274" s="13">
        <f t="shared" si="106"/>
        <v>207.5</v>
      </c>
    </row>
    <row r="2275" spans="1:8" x14ac:dyDescent="0.25">
      <c r="A2275" s="2" t="str">
        <f>"STAMPA-4WW7"</f>
        <v>STAMPA-4WW7</v>
      </c>
      <c r="B2275" s="2" t="str">
        <f>"5321AG3K STAMP Markierungsleuchte, LED, 3000K, 4,5W, aluminiumgrau"</f>
        <v>5321AG3K STAMP Markierungsleuchte, LED, 3000K, 4,5W, aluminiumgrau</v>
      </c>
      <c r="C2275" s="16">
        <v>207.5</v>
      </c>
      <c r="D2275" s="11">
        <v>261</v>
      </c>
      <c r="E2275" s="7">
        <f t="shared" si="104"/>
        <v>1</v>
      </c>
      <c r="F2275" s="22" t="str">
        <f>IF(ISERROR(VLOOKUP($A2275,#REF!,3,0)),"x",VLOOKUP($A2275,#REF!,3,FALSE))</f>
        <v>x</v>
      </c>
      <c r="G2275" s="9">
        <f t="shared" si="105"/>
        <v>1</v>
      </c>
      <c r="H2275" s="13">
        <f t="shared" si="106"/>
        <v>207.5</v>
      </c>
    </row>
    <row r="2276" spans="1:8" x14ac:dyDescent="0.25">
      <c r="A2276" s="2" t="str">
        <f>"STAMPA-8NW6"</f>
        <v>STAMPA-8NW6</v>
      </c>
      <c r="B2276" s="2" t="str">
        <f>"5323AN4K STAMP Markierungsleuchte, LED, 4000K, 10W, anthrazit"</f>
        <v>5323AN4K STAMP Markierungsleuchte, LED, 4000K, 10W, anthrazit</v>
      </c>
      <c r="C2276" s="16">
        <v>302.25</v>
      </c>
      <c r="D2276" s="11">
        <v>261</v>
      </c>
      <c r="E2276" s="7">
        <f t="shared" si="104"/>
        <v>1</v>
      </c>
      <c r="F2276" s="22" t="str">
        <f>IF(ISERROR(VLOOKUP($A2276,#REF!,3,0)),"x",VLOOKUP($A2276,#REF!,3,FALSE))</f>
        <v>x</v>
      </c>
      <c r="G2276" s="9">
        <f t="shared" si="105"/>
        <v>1</v>
      </c>
      <c r="H2276" s="13">
        <f t="shared" si="106"/>
        <v>302.25</v>
      </c>
    </row>
    <row r="2277" spans="1:8" x14ac:dyDescent="0.25">
      <c r="A2277" s="2" t="str">
        <f>"STAMPA-8NW7"</f>
        <v>STAMPA-8NW7</v>
      </c>
      <c r="B2277" s="2" t="str">
        <f>"5323AG4K STAMP Markierungsleuchte, LED, 4000K, 10W, aluminiumgrau"</f>
        <v>5323AG4K STAMP Markierungsleuchte, LED, 4000K, 10W, aluminiumgrau</v>
      </c>
      <c r="C2277" s="16">
        <v>302.25</v>
      </c>
      <c r="D2277" s="11">
        <v>261</v>
      </c>
      <c r="E2277" s="7">
        <f t="shared" si="104"/>
        <v>1</v>
      </c>
      <c r="F2277" s="22" t="str">
        <f>IF(ISERROR(VLOOKUP($A2277,#REF!,3,0)),"x",VLOOKUP($A2277,#REF!,3,FALSE))</f>
        <v>x</v>
      </c>
      <c r="G2277" s="9">
        <f t="shared" si="105"/>
        <v>1</v>
      </c>
      <c r="H2277" s="13">
        <f t="shared" si="106"/>
        <v>302.25</v>
      </c>
    </row>
    <row r="2278" spans="1:8" x14ac:dyDescent="0.25">
      <c r="A2278" s="2" t="str">
        <f>"STAMPA-8WW6"</f>
        <v>STAMPA-8WW6</v>
      </c>
      <c r="B2278" s="2" t="str">
        <f>"5323AN3K STAMP Markierungsleuchte, LED, 3000K, 10W, anthrazit "</f>
        <v xml:space="preserve">5323AN3K STAMP Markierungsleuchte, LED, 3000K, 10W, anthrazit </v>
      </c>
      <c r="C2278" s="16">
        <v>302.25</v>
      </c>
      <c r="D2278" s="11">
        <v>261</v>
      </c>
      <c r="E2278" s="7">
        <f t="shared" si="104"/>
        <v>1</v>
      </c>
      <c r="F2278" s="22" t="str">
        <f>IF(ISERROR(VLOOKUP($A2278,#REF!,3,0)),"x",VLOOKUP($A2278,#REF!,3,FALSE))</f>
        <v>x</v>
      </c>
      <c r="G2278" s="9">
        <f t="shared" si="105"/>
        <v>1</v>
      </c>
      <c r="H2278" s="13">
        <f t="shared" si="106"/>
        <v>302.25</v>
      </c>
    </row>
    <row r="2279" spans="1:8" x14ac:dyDescent="0.25">
      <c r="A2279" s="2" t="str">
        <f>"STAMPA-8WW7"</f>
        <v>STAMPA-8WW7</v>
      </c>
      <c r="B2279" s="2" t="str">
        <f>"5323AG3K STAMP Markierungsleuchte, LED, 3000K, 10W, Aluminiumgrau"</f>
        <v>5323AG3K STAMP Markierungsleuchte, LED, 3000K, 10W, Aluminiumgrau</v>
      </c>
      <c r="C2279" s="16">
        <v>302.25</v>
      </c>
      <c r="D2279" s="11">
        <v>261</v>
      </c>
      <c r="E2279" s="7">
        <f t="shared" si="104"/>
        <v>1</v>
      </c>
      <c r="F2279" s="22" t="str">
        <f>IF(ISERROR(VLOOKUP($A2279,#REF!,3,0)),"x",VLOOKUP($A2279,#REF!,3,FALSE))</f>
        <v>x</v>
      </c>
      <c r="G2279" s="9">
        <f t="shared" si="105"/>
        <v>1</v>
      </c>
      <c r="H2279" s="13">
        <f t="shared" si="106"/>
        <v>302.25</v>
      </c>
    </row>
    <row r="2280" spans="1:8" x14ac:dyDescent="0.25">
      <c r="A2280" s="2" t="str">
        <f>"STAMPE-4NW6"</f>
        <v>STAMPE-4NW6</v>
      </c>
      <c r="B2280" s="2" t="str">
        <f>"STAMP Markierungsleuchte, LED, 4000K, 4,5W, Einbau, anthrazit"</f>
        <v>STAMP Markierungsleuchte, LED, 4000K, 4,5W, Einbau, anthrazit</v>
      </c>
      <c r="C2280" s="16">
        <v>252.5</v>
      </c>
      <c r="D2280" s="11">
        <v>261</v>
      </c>
      <c r="E2280" s="7">
        <f t="shared" si="104"/>
        <v>1</v>
      </c>
      <c r="F2280" s="22" t="str">
        <f>IF(ISERROR(VLOOKUP($A2280,#REF!,3,0)),"x",VLOOKUP($A2280,#REF!,3,FALSE))</f>
        <v>x</v>
      </c>
      <c r="G2280" s="9">
        <f t="shared" si="105"/>
        <v>1</v>
      </c>
      <c r="H2280" s="13">
        <f t="shared" si="106"/>
        <v>252.5</v>
      </c>
    </row>
    <row r="2281" spans="1:8" x14ac:dyDescent="0.25">
      <c r="A2281" s="2" t="str">
        <f>"STAMPE-4NW7"</f>
        <v>STAMPE-4NW7</v>
      </c>
      <c r="B2281" s="2" t="str">
        <f>"STAMP Markierungsleuchte, LED, 4000K, 4,5W, Einbau, aluminiumgrau"</f>
        <v>STAMP Markierungsleuchte, LED, 4000K, 4,5W, Einbau, aluminiumgrau</v>
      </c>
      <c r="C2281" s="16">
        <v>252.5</v>
      </c>
      <c r="D2281" s="11">
        <v>261</v>
      </c>
      <c r="E2281" s="7">
        <f t="shared" si="104"/>
        <v>1</v>
      </c>
      <c r="F2281" s="22" t="str">
        <f>IF(ISERROR(VLOOKUP($A2281,#REF!,3,0)),"x",VLOOKUP($A2281,#REF!,3,FALSE))</f>
        <v>x</v>
      </c>
      <c r="G2281" s="9">
        <f t="shared" si="105"/>
        <v>1</v>
      </c>
      <c r="H2281" s="13">
        <f t="shared" si="106"/>
        <v>252.5</v>
      </c>
    </row>
    <row r="2282" spans="1:8" x14ac:dyDescent="0.25">
      <c r="A2282" s="2" t="str">
        <f>"STAMPE-4WW6"</f>
        <v>STAMPE-4WW6</v>
      </c>
      <c r="B2282" s="2" t="str">
        <f>"STAMP Markierungsleuchte, LED, 3000K, 4,5W, Einbau, anthrazit"</f>
        <v>STAMP Markierungsleuchte, LED, 3000K, 4,5W, Einbau, anthrazit</v>
      </c>
      <c r="C2282" s="16">
        <v>252.5</v>
      </c>
      <c r="D2282" s="11">
        <v>261</v>
      </c>
      <c r="E2282" s="7">
        <f t="shared" si="104"/>
        <v>1</v>
      </c>
      <c r="F2282" s="22" t="str">
        <f>IF(ISERROR(VLOOKUP($A2282,#REF!,3,0)),"x",VLOOKUP($A2282,#REF!,3,FALSE))</f>
        <v>x</v>
      </c>
      <c r="G2282" s="9">
        <f t="shared" si="105"/>
        <v>1</v>
      </c>
      <c r="H2282" s="13">
        <f t="shared" si="106"/>
        <v>252.5</v>
      </c>
    </row>
    <row r="2283" spans="1:8" x14ac:dyDescent="0.25">
      <c r="A2283" s="2" t="str">
        <f>"STAMPE-4WW7"</f>
        <v>STAMPE-4WW7</v>
      </c>
      <c r="B2283" s="2" t="str">
        <f>"STAMP Markierungsleuchte, LED, 3000K, 4,5W, Einbau, aluminiumgrau"</f>
        <v>STAMP Markierungsleuchte, LED, 3000K, 4,5W, Einbau, aluminiumgrau</v>
      </c>
      <c r="C2283" s="16">
        <v>252.5</v>
      </c>
      <c r="D2283" s="11">
        <v>261</v>
      </c>
      <c r="E2283" s="7">
        <f t="shared" si="104"/>
        <v>1</v>
      </c>
      <c r="F2283" s="22" t="str">
        <f>IF(ISERROR(VLOOKUP($A2283,#REF!,3,0)),"x",VLOOKUP($A2283,#REF!,3,FALSE))</f>
        <v>x</v>
      </c>
      <c r="G2283" s="9">
        <f t="shared" si="105"/>
        <v>1</v>
      </c>
      <c r="H2283" s="13">
        <f t="shared" si="106"/>
        <v>252.5</v>
      </c>
    </row>
    <row r="2284" spans="1:8" x14ac:dyDescent="0.25">
      <c r="A2284" s="2" t="str">
        <f>"STAMPE-8NW6"</f>
        <v>STAMPE-8NW6</v>
      </c>
      <c r="B2284" s="2" t="str">
        <f>"STAMP Markierungsleuchte, LED, 4000K, 10W, Einbau, graphitgrau"</f>
        <v>STAMP Markierungsleuchte, LED, 4000K, 10W, Einbau, graphitgrau</v>
      </c>
      <c r="C2284" s="16">
        <v>362.25</v>
      </c>
      <c r="D2284" s="11">
        <v>261</v>
      </c>
      <c r="E2284" s="7">
        <f t="shared" si="104"/>
        <v>1</v>
      </c>
      <c r="F2284" s="22" t="str">
        <f>IF(ISERROR(VLOOKUP($A2284,#REF!,3,0)),"x",VLOOKUP($A2284,#REF!,3,FALSE))</f>
        <v>x</v>
      </c>
      <c r="G2284" s="9">
        <f t="shared" si="105"/>
        <v>1</v>
      </c>
      <c r="H2284" s="13">
        <f t="shared" si="106"/>
        <v>362.25</v>
      </c>
    </row>
    <row r="2285" spans="1:8" x14ac:dyDescent="0.25">
      <c r="A2285" s="2" t="str">
        <f>"STAMPE-8NW7"</f>
        <v>STAMPE-8NW7</v>
      </c>
      <c r="B2285" s="2" t="str">
        <f>"STAMP Markierungsleuchte, LED, 4000K, 10W, Einbau, metallgrau"</f>
        <v>STAMP Markierungsleuchte, LED, 4000K, 10W, Einbau, metallgrau</v>
      </c>
      <c r="C2285" s="16">
        <v>362.25</v>
      </c>
      <c r="D2285" s="11">
        <v>261</v>
      </c>
      <c r="E2285" s="7">
        <f t="shared" si="104"/>
        <v>1</v>
      </c>
      <c r="F2285" s="22" t="str">
        <f>IF(ISERROR(VLOOKUP($A2285,#REF!,3,0)),"x",VLOOKUP($A2285,#REF!,3,FALSE))</f>
        <v>x</v>
      </c>
      <c r="G2285" s="9">
        <f t="shared" si="105"/>
        <v>1</v>
      </c>
      <c r="H2285" s="13">
        <f t="shared" si="106"/>
        <v>362.25</v>
      </c>
    </row>
    <row r="2286" spans="1:8" x14ac:dyDescent="0.25">
      <c r="A2286" s="2" t="str">
        <f>"STAMPE-8WW6"</f>
        <v>STAMPE-8WW6</v>
      </c>
      <c r="B2286" s="2" t="str">
        <f>"STAMP Markierungsleuchte, LED, 3000K, 10W, Einbau, anthrazit"</f>
        <v>STAMP Markierungsleuchte, LED, 3000K, 10W, Einbau, anthrazit</v>
      </c>
      <c r="C2286" s="16">
        <v>362.25</v>
      </c>
      <c r="D2286" s="11">
        <v>261</v>
      </c>
      <c r="E2286" s="7">
        <f t="shared" si="104"/>
        <v>1</v>
      </c>
      <c r="F2286" s="22" t="str">
        <f>IF(ISERROR(VLOOKUP($A2286,#REF!,3,0)),"x",VLOOKUP($A2286,#REF!,3,FALSE))</f>
        <v>x</v>
      </c>
      <c r="G2286" s="9">
        <f t="shared" si="105"/>
        <v>1</v>
      </c>
      <c r="H2286" s="13">
        <f t="shared" si="106"/>
        <v>362.25</v>
      </c>
    </row>
    <row r="2287" spans="1:8" x14ac:dyDescent="0.25">
      <c r="A2287" s="2" t="str">
        <f>"STAMPE-8WW7"</f>
        <v>STAMPE-8WW7</v>
      </c>
      <c r="B2287" s="2" t="str">
        <f>"STAMP Markierungsleuchte, LED, 3000K, 10W, Einbau, metallgrau"</f>
        <v>STAMP Markierungsleuchte, LED, 3000K, 10W, Einbau, metallgrau</v>
      </c>
      <c r="C2287" s="16">
        <v>362.25</v>
      </c>
      <c r="D2287" s="11">
        <v>261</v>
      </c>
      <c r="E2287" s="7">
        <f t="shared" si="104"/>
        <v>1</v>
      </c>
      <c r="F2287" s="22" t="str">
        <f>IF(ISERROR(VLOOKUP($A2287,#REF!,3,0)),"x",VLOOKUP($A2287,#REF!,3,FALSE))</f>
        <v>x</v>
      </c>
      <c r="G2287" s="9">
        <f t="shared" si="105"/>
        <v>1</v>
      </c>
      <c r="H2287" s="13">
        <f t="shared" si="106"/>
        <v>362.25</v>
      </c>
    </row>
    <row r="2288" spans="1:8" x14ac:dyDescent="0.25">
      <c r="A2288" s="2" t="str">
        <f>"STAND-8NW6"</f>
        <v>STAND-8NW6</v>
      </c>
      <c r="B2288" s="2" t="str">
        <f>"5526AN4K STANDING Alu-Poller, LED, 8,7W, H=495 mm, 4000K, anthrazit"</f>
        <v>5526AN4K STANDING Alu-Poller, LED, 8,7W, H=495 mm, 4000K, anthrazit</v>
      </c>
      <c r="C2288" s="16">
        <v>370</v>
      </c>
      <c r="D2288" s="11">
        <v>327</v>
      </c>
      <c r="E2288" s="7">
        <f t="shared" si="104"/>
        <v>1</v>
      </c>
      <c r="F2288" s="22" t="str">
        <f>IF(ISERROR(VLOOKUP($A2288,#REF!,3,0)),"x",VLOOKUP($A2288,#REF!,3,FALSE))</f>
        <v>x</v>
      </c>
      <c r="G2288" s="9">
        <f t="shared" si="105"/>
        <v>1</v>
      </c>
      <c r="H2288" s="13">
        <f t="shared" si="106"/>
        <v>370</v>
      </c>
    </row>
    <row r="2289" spans="1:8" x14ac:dyDescent="0.25">
      <c r="A2289" s="2" t="str">
        <f>"STAND-8NW7"</f>
        <v>STAND-8NW7</v>
      </c>
      <c r="B2289" s="2" t="str">
        <f>"5526AG4K STANDING Alu-Poller, LED, 8,7W, H=495 mm, 4000K, aluminiumgrau"</f>
        <v>5526AG4K STANDING Alu-Poller, LED, 8,7W, H=495 mm, 4000K, aluminiumgrau</v>
      </c>
      <c r="C2289" s="16">
        <v>370</v>
      </c>
      <c r="D2289" s="11">
        <v>327</v>
      </c>
      <c r="E2289" s="7">
        <f t="shared" si="104"/>
        <v>1</v>
      </c>
      <c r="F2289" s="22" t="str">
        <f>IF(ISERROR(VLOOKUP($A2289,#REF!,3,0)),"x",VLOOKUP($A2289,#REF!,3,FALSE))</f>
        <v>x</v>
      </c>
      <c r="G2289" s="9">
        <f t="shared" si="105"/>
        <v>1</v>
      </c>
      <c r="H2289" s="13">
        <f t="shared" si="106"/>
        <v>370</v>
      </c>
    </row>
    <row r="2290" spans="1:8" x14ac:dyDescent="0.25">
      <c r="A2290" s="2" t="str">
        <f>"STAND-8WW6"</f>
        <v>STAND-8WW6</v>
      </c>
      <c r="B2290" s="2" t="str">
        <f>"5526AN3K STANDING Alu-Poller, LED, 8,7W, H=495 mm, 3000K, Anthrazit"</f>
        <v>5526AN3K STANDING Alu-Poller, LED, 8,7W, H=495 mm, 3000K, Anthrazit</v>
      </c>
      <c r="C2290" s="16">
        <v>370</v>
      </c>
      <c r="D2290" s="11">
        <v>327</v>
      </c>
      <c r="E2290" s="7">
        <f t="shared" si="104"/>
        <v>1</v>
      </c>
      <c r="F2290" s="22" t="str">
        <f>IF(ISERROR(VLOOKUP($A2290,#REF!,3,0)),"x",VLOOKUP($A2290,#REF!,3,FALSE))</f>
        <v>x</v>
      </c>
      <c r="G2290" s="9">
        <f t="shared" si="105"/>
        <v>1</v>
      </c>
      <c r="H2290" s="13">
        <f t="shared" si="106"/>
        <v>370</v>
      </c>
    </row>
    <row r="2291" spans="1:8" ht="15" customHeight="1" x14ac:dyDescent="0.25">
      <c r="A2291" s="2" t="str">
        <f>"STAND-8WW7"</f>
        <v>STAND-8WW7</v>
      </c>
      <c r="B2291" s="2" t="str">
        <f>"5526AG3K STANDING Alu-Poller, LED, 8,7W, H=495 mm, 3000K, aluminiumgrau"</f>
        <v>5526AG3K STANDING Alu-Poller, LED, 8,7W, H=495 mm, 3000K, aluminiumgrau</v>
      </c>
      <c r="C2291" s="16">
        <v>370</v>
      </c>
      <c r="D2291" s="11">
        <v>327</v>
      </c>
      <c r="E2291" s="7">
        <f t="shared" si="104"/>
        <v>1</v>
      </c>
      <c r="F2291" s="22" t="str">
        <f>IF(ISERROR(VLOOKUP($A2291,#REF!,3,0)),"x",VLOOKUP($A2291,#REF!,3,FALSE))</f>
        <v>x</v>
      </c>
      <c r="G2291" s="9">
        <f t="shared" si="105"/>
        <v>1</v>
      </c>
      <c r="H2291" s="13">
        <f t="shared" si="106"/>
        <v>370</v>
      </c>
    </row>
    <row r="2292" spans="1:8" ht="15" customHeight="1" x14ac:dyDescent="0.25">
      <c r="A2292" s="2" t="s">
        <v>28</v>
      </c>
      <c r="B2292" s="2" t="str">
        <f>"SUDR, Ringförmige Decken-/Pendelleuchte, LED 57W, 2700K, weiß"</f>
        <v>SUDR, Ringförmige Decken-/Pendelleuchte, LED 57W, 2700K, weiß</v>
      </c>
      <c r="C2292" s="16">
        <v>484.5</v>
      </c>
      <c r="D2292" s="11">
        <v>139</v>
      </c>
      <c r="E2292" s="7">
        <f t="shared" si="104"/>
        <v>1</v>
      </c>
      <c r="F2292" s="22" t="str">
        <f>IF(ISERROR(VLOOKUP($A2292,#REF!,3,0)),"x",VLOOKUP($A2292,#REF!,3,FALSE))</f>
        <v>x</v>
      </c>
      <c r="G2292" s="9">
        <f t="shared" si="105"/>
        <v>1</v>
      </c>
      <c r="H2292" s="13">
        <f t="shared" si="106"/>
        <v>484.5</v>
      </c>
    </row>
    <row r="2293" spans="1:8" ht="15" customHeight="1" x14ac:dyDescent="0.25">
      <c r="A2293" s="2" t="s">
        <v>29</v>
      </c>
      <c r="B2293" s="2" t="str">
        <f>"SUDR, Ringförmige Decken-/Pendelleuchte, LED 57W, 2700K, schwarz-matt"</f>
        <v>SUDR, Ringförmige Decken-/Pendelleuchte, LED 57W, 2700K, schwarz-matt</v>
      </c>
      <c r="C2293" s="16">
        <v>484.5</v>
      </c>
      <c r="D2293" s="11">
        <v>139</v>
      </c>
      <c r="E2293" s="7">
        <f t="shared" si="104"/>
        <v>1</v>
      </c>
      <c r="F2293" s="22" t="str">
        <f>IF(ISERROR(VLOOKUP($A2293,#REF!,3,0)),"x",VLOOKUP($A2293,#REF!,3,FALSE))</f>
        <v>x</v>
      </c>
      <c r="G2293" s="9">
        <f t="shared" si="105"/>
        <v>1</v>
      </c>
      <c r="H2293" s="13">
        <f t="shared" si="106"/>
        <v>484.5</v>
      </c>
    </row>
    <row r="2294" spans="1:8" ht="15" customHeight="1" x14ac:dyDescent="0.25">
      <c r="A2294" s="2" t="s">
        <v>30</v>
      </c>
      <c r="B2294" s="2" t="str">
        <f>"SUDR, Ringförmige Decken-/Pendelleuchte, LED 57W, 3000K, messing-geb."</f>
        <v>SUDR, Ringförmige Decken-/Pendelleuchte, LED 57W, 3000K, messing-geb.</v>
      </c>
      <c r="C2294" s="16">
        <v>527.5</v>
      </c>
      <c r="D2294" s="11">
        <v>139</v>
      </c>
      <c r="E2294" s="7">
        <f t="shared" si="104"/>
        <v>1</v>
      </c>
      <c r="F2294" s="22" t="str">
        <f>IF(ISERROR(VLOOKUP($A2294,#REF!,3,0)),"x",VLOOKUP($A2294,#REF!,3,FALSE))</f>
        <v>x</v>
      </c>
      <c r="G2294" s="9">
        <f t="shared" si="105"/>
        <v>1</v>
      </c>
      <c r="H2294" s="13">
        <f t="shared" si="106"/>
        <v>527.5</v>
      </c>
    </row>
    <row r="2295" spans="1:8" ht="15" customHeight="1" x14ac:dyDescent="0.25">
      <c r="A2295" s="2" t="str">
        <f>"SUDR-50WW1D-N"</f>
        <v>SUDR-50WW1D-N</v>
      </c>
      <c r="B2295" s="2" t="str">
        <f>"SUDR, Ringförmige Decken-/Pendelleuchte, LED 57W, 3000K, weiß"</f>
        <v>SUDR, Ringförmige Decken-/Pendelleuchte, LED 57W, 3000K, weiß</v>
      </c>
      <c r="C2295" s="16">
        <v>484.5</v>
      </c>
      <c r="D2295" s="11">
        <v>139</v>
      </c>
      <c r="E2295" s="7">
        <f t="shared" si="104"/>
        <v>1</v>
      </c>
      <c r="F2295" s="22" t="str">
        <f>IF(ISERROR(VLOOKUP($A2295,#REF!,3,0)),"x",VLOOKUP($A2295,#REF!,3,FALSE))</f>
        <v>x</v>
      </c>
      <c r="G2295" s="9">
        <f t="shared" si="105"/>
        <v>1</v>
      </c>
      <c r="H2295" s="13">
        <f t="shared" si="106"/>
        <v>484.5</v>
      </c>
    </row>
    <row r="2296" spans="1:8" ht="15" customHeight="1" x14ac:dyDescent="0.25">
      <c r="A2296" s="2" t="str">
        <f>"SUDR-50WW2D-N"</f>
        <v>SUDR-50WW2D-N</v>
      </c>
      <c r="B2296" s="2" t="str">
        <f>"SUDR, Ringförmige Decken-/Pendelleuchte, LED 57W, 3000K, schwarz"</f>
        <v>SUDR, Ringförmige Decken-/Pendelleuchte, LED 57W, 3000K, schwarz</v>
      </c>
      <c r="C2296" s="16">
        <v>484.5</v>
      </c>
      <c r="D2296" s="11">
        <v>139</v>
      </c>
      <c r="E2296" s="7">
        <f t="shared" si="104"/>
        <v>1</v>
      </c>
      <c r="F2296" s="22" t="str">
        <f>IF(ISERROR(VLOOKUP($A2296,#REF!,3,0)),"x",VLOOKUP($A2296,#REF!,3,FALSE))</f>
        <v>x</v>
      </c>
      <c r="G2296" s="9">
        <f t="shared" si="105"/>
        <v>1</v>
      </c>
      <c r="H2296" s="13">
        <f t="shared" si="106"/>
        <v>484.5</v>
      </c>
    </row>
    <row r="2297" spans="1:8" ht="15" customHeight="1" x14ac:dyDescent="0.25">
      <c r="A2297" s="2" t="str">
        <f>"SUDR-50WW4D-N"</f>
        <v>SUDR-50WW4D-N</v>
      </c>
      <c r="B2297" s="2" t="str">
        <f>"SUDR, Ringförmige Decken-/Pendelleuchte, LED 57W, 3000K, messing-geb."</f>
        <v>SUDR, Ringförmige Decken-/Pendelleuchte, LED 57W, 3000K, messing-geb.</v>
      </c>
      <c r="C2297" s="16">
        <v>527.75</v>
      </c>
      <c r="D2297" s="11">
        <v>139</v>
      </c>
      <c r="E2297" s="7">
        <f t="shared" si="104"/>
        <v>1</v>
      </c>
      <c r="F2297" s="22" t="str">
        <f>IF(ISERROR(VLOOKUP($A2297,#REF!,3,0)),"x",VLOOKUP($A2297,#REF!,3,FALSE))</f>
        <v>x</v>
      </c>
      <c r="G2297" s="9">
        <f t="shared" si="105"/>
        <v>1</v>
      </c>
      <c r="H2297" s="13">
        <f t="shared" si="106"/>
        <v>527.75</v>
      </c>
    </row>
    <row r="2298" spans="1:8" ht="15" customHeight="1" x14ac:dyDescent="0.25">
      <c r="A2298" s="2" t="s">
        <v>31</v>
      </c>
      <c r="B2298" s="2" t="str">
        <f>"SUDR, Ringförmige Decken-/Pendelleuchte, LED 92W, 2700K, weiß"</f>
        <v>SUDR, Ringförmige Decken-/Pendelleuchte, LED 92W, 2700K, weiß</v>
      </c>
      <c r="C2298" s="16">
        <v>849.25</v>
      </c>
      <c r="D2298" s="11">
        <v>139</v>
      </c>
      <c r="E2298" s="7">
        <f t="shared" si="104"/>
        <v>1</v>
      </c>
      <c r="F2298" s="22" t="str">
        <f>IF(ISERROR(VLOOKUP($A2298,#REF!,3,0)),"x",VLOOKUP($A2298,#REF!,3,FALSE))</f>
        <v>x</v>
      </c>
      <c r="G2298" s="9">
        <f t="shared" si="105"/>
        <v>1</v>
      </c>
      <c r="H2298" s="13">
        <f t="shared" si="106"/>
        <v>849.25</v>
      </c>
    </row>
    <row r="2299" spans="1:8" ht="15" customHeight="1" x14ac:dyDescent="0.25">
      <c r="A2299" s="2" t="s">
        <v>32</v>
      </c>
      <c r="B2299" s="2" t="str">
        <f>"SUDR, Ringförmige Decken-/Pendelleuchte, LED 92W, 2700K, schwarz"</f>
        <v>SUDR, Ringförmige Decken-/Pendelleuchte, LED 92W, 2700K, schwarz</v>
      </c>
      <c r="C2299" s="16">
        <v>849.25</v>
      </c>
      <c r="D2299" s="11">
        <v>139</v>
      </c>
      <c r="E2299" s="7">
        <f t="shared" si="104"/>
        <v>1</v>
      </c>
      <c r="F2299" s="22" t="str">
        <f>IF(ISERROR(VLOOKUP($A2299,#REF!,3,0)),"x",VLOOKUP($A2299,#REF!,3,FALSE))</f>
        <v>x</v>
      </c>
      <c r="G2299" s="9">
        <f t="shared" si="105"/>
        <v>1</v>
      </c>
      <c r="H2299" s="13">
        <f t="shared" si="106"/>
        <v>849.25</v>
      </c>
    </row>
    <row r="2300" spans="1:8" ht="15" customHeight="1" x14ac:dyDescent="0.25">
      <c r="A2300" s="2" t="s">
        <v>33</v>
      </c>
      <c r="B2300" s="2" t="str">
        <f>"SUDR, Ringförmige Decken-/Pendelleuchte, LED 92W, 3000K, messing-geb."</f>
        <v>SUDR, Ringförmige Decken-/Pendelleuchte, LED 92W, 3000K, messing-geb.</v>
      </c>
      <c r="C2300" s="16">
        <v>1047.25</v>
      </c>
      <c r="D2300" s="11">
        <v>139</v>
      </c>
      <c r="E2300" s="7">
        <f t="shared" si="104"/>
        <v>1</v>
      </c>
      <c r="F2300" s="22" t="str">
        <f>IF(ISERROR(VLOOKUP($A2300,#REF!,3,0)),"x",VLOOKUP($A2300,#REF!,3,FALSE))</f>
        <v>x</v>
      </c>
      <c r="G2300" s="9">
        <f t="shared" si="105"/>
        <v>1</v>
      </c>
      <c r="H2300" s="13">
        <f t="shared" si="106"/>
        <v>1047.25</v>
      </c>
    </row>
    <row r="2301" spans="1:8" ht="15" customHeight="1" x14ac:dyDescent="0.25">
      <c r="A2301" s="2" t="str">
        <f>"SUDR-92WW1D-N"</f>
        <v>SUDR-92WW1D-N</v>
      </c>
      <c r="B2301" s="2" t="str">
        <f>"SUDR, Ringförmige Decken-/Pendelleuchte, LED 92W, 3000K, weiß"</f>
        <v>SUDR, Ringförmige Decken-/Pendelleuchte, LED 92W, 3000K, weiß</v>
      </c>
      <c r="C2301" s="16">
        <v>849.25</v>
      </c>
      <c r="D2301" s="11">
        <v>139</v>
      </c>
      <c r="E2301" s="7">
        <f t="shared" si="104"/>
        <v>1</v>
      </c>
      <c r="F2301" s="22" t="str">
        <f>IF(ISERROR(VLOOKUP($A2301,#REF!,3,0)),"x",VLOOKUP($A2301,#REF!,3,FALSE))</f>
        <v>x</v>
      </c>
      <c r="G2301" s="9">
        <f t="shared" si="105"/>
        <v>1</v>
      </c>
      <c r="H2301" s="13">
        <f t="shared" si="106"/>
        <v>849.25</v>
      </c>
    </row>
    <row r="2302" spans="1:8" ht="15" customHeight="1" x14ac:dyDescent="0.25">
      <c r="A2302" s="2" t="str">
        <f>"SUDR-92WW2D-N"</f>
        <v>SUDR-92WW2D-N</v>
      </c>
      <c r="B2302" s="2" t="str">
        <f>"SUDR, Ringförmige Decken-/Pendelleuchte, LED 92W, 3000K, schwarz"</f>
        <v>SUDR, Ringförmige Decken-/Pendelleuchte, LED 92W, 3000K, schwarz</v>
      </c>
      <c r="C2302" s="16">
        <v>849.25</v>
      </c>
      <c r="D2302" s="11">
        <v>139</v>
      </c>
      <c r="E2302" s="7">
        <f t="shared" si="104"/>
        <v>1</v>
      </c>
      <c r="F2302" s="22" t="str">
        <f>IF(ISERROR(VLOOKUP($A2302,#REF!,3,0)),"x",VLOOKUP($A2302,#REF!,3,FALSE))</f>
        <v>x</v>
      </c>
      <c r="G2302" s="9">
        <f t="shared" si="105"/>
        <v>1</v>
      </c>
      <c r="H2302" s="13">
        <f t="shared" si="106"/>
        <v>849.25</v>
      </c>
    </row>
    <row r="2303" spans="1:8" ht="15" customHeight="1" x14ac:dyDescent="0.25">
      <c r="A2303" s="2" t="str">
        <f>"SUDR-92WW4D-N"</f>
        <v>SUDR-92WW4D-N</v>
      </c>
      <c r="B2303" s="2" t="str">
        <f>"SUDR, Ringförmige Decken-/Pendelleuchte, LED 92W, 3000K, messing-geb."</f>
        <v>SUDR, Ringförmige Decken-/Pendelleuchte, LED 92W, 3000K, messing-geb.</v>
      </c>
      <c r="C2303" s="16">
        <v>1047.25</v>
      </c>
      <c r="D2303" s="11">
        <v>139</v>
      </c>
      <c r="E2303" s="7">
        <f t="shared" si="104"/>
        <v>1</v>
      </c>
      <c r="F2303" s="22" t="str">
        <f>IF(ISERROR(VLOOKUP($A2303,#REF!,3,0)),"x",VLOOKUP($A2303,#REF!,3,FALSE))</f>
        <v>x</v>
      </c>
      <c r="G2303" s="9">
        <f t="shared" si="105"/>
        <v>1</v>
      </c>
      <c r="H2303" s="13">
        <f t="shared" si="106"/>
        <v>1047.25</v>
      </c>
    </row>
    <row r="2304" spans="1:8" ht="15" customHeight="1" x14ac:dyDescent="0.25">
      <c r="A2304" s="2" t="s">
        <v>34</v>
      </c>
      <c r="B2304" s="2" t="str">
        <f>"SUDR3, Ringförmige Decken-/Pendelleuchte, LED 140W, 2700K, weiß"</f>
        <v>SUDR3, Ringförmige Decken-/Pendelleuchte, LED 140W, 2700K, weiß</v>
      </c>
      <c r="C2304" s="16">
        <v>1250.5</v>
      </c>
      <c r="D2304" s="11">
        <v>141</v>
      </c>
      <c r="E2304" s="7">
        <f t="shared" si="104"/>
        <v>1</v>
      </c>
      <c r="F2304" s="22" t="str">
        <f>IF(ISERROR(VLOOKUP($A2304,#REF!,3,0)),"x",VLOOKUP($A2304,#REF!,3,FALSE))</f>
        <v>x</v>
      </c>
      <c r="G2304" s="9">
        <f t="shared" si="105"/>
        <v>1</v>
      </c>
      <c r="H2304" s="13">
        <f t="shared" si="106"/>
        <v>1250.5</v>
      </c>
    </row>
    <row r="2305" spans="1:8" ht="15" customHeight="1" x14ac:dyDescent="0.25">
      <c r="A2305" s="2" t="s">
        <v>35</v>
      </c>
      <c r="B2305" s="2" t="str">
        <f>"SUDR3, Ringförmige Decken-/Pendelleuchte, LED 140W, 2700K, schwarz"</f>
        <v>SUDR3, Ringförmige Decken-/Pendelleuchte, LED 140W, 2700K, schwarz</v>
      </c>
      <c r="C2305" s="16">
        <v>1250.5</v>
      </c>
      <c r="D2305" s="11">
        <v>141</v>
      </c>
      <c r="E2305" s="7">
        <f t="shared" si="104"/>
        <v>1</v>
      </c>
      <c r="F2305" s="22" t="str">
        <f>IF(ISERROR(VLOOKUP($A2305,#REF!,3,0)),"x",VLOOKUP($A2305,#REF!,3,FALSE))</f>
        <v>x</v>
      </c>
      <c r="G2305" s="9">
        <f t="shared" si="105"/>
        <v>1</v>
      </c>
      <c r="H2305" s="13">
        <f t="shared" si="106"/>
        <v>1250.5</v>
      </c>
    </row>
    <row r="2306" spans="1:8" ht="15" customHeight="1" x14ac:dyDescent="0.25">
      <c r="A2306" s="2" t="s">
        <v>36</v>
      </c>
      <c r="B2306" s="2" t="str">
        <f>"SUDR3, Ringförmige Decken-/Pendelleuchte, LED 140W, 2700K, messing-geb."</f>
        <v>SUDR3, Ringförmige Decken-/Pendelleuchte, LED 140W, 2700K, messing-geb.</v>
      </c>
      <c r="C2306" s="16">
        <v>1677.75</v>
      </c>
      <c r="D2306" s="11">
        <v>141</v>
      </c>
      <c r="E2306" s="7">
        <f t="shared" ref="E2306:E2369" si="107">G2306</f>
        <v>1</v>
      </c>
      <c r="F2306" s="22" t="str">
        <f>IF(ISERROR(VLOOKUP($A2306,#REF!,3,0)),"x",VLOOKUP($A2306,#REF!,3,FALSE))</f>
        <v>x</v>
      </c>
      <c r="G2306" s="9">
        <f t="shared" si="105"/>
        <v>1</v>
      </c>
      <c r="H2306" s="13">
        <f t="shared" si="106"/>
        <v>1677.75</v>
      </c>
    </row>
    <row r="2307" spans="1:8" ht="15" customHeight="1" x14ac:dyDescent="0.25">
      <c r="A2307" s="2" t="str">
        <f>"SUDR3-140WW1D-N"</f>
        <v>SUDR3-140WW1D-N</v>
      </c>
      <c r="B2307" s="2" t="str">
        <f>"SUDR3, Ringförmige Decken-/Pendelleuchte, LED 140W, 3000K, weiß"</f>
        <v>SUDR3, Ringförmige Decken-/Pendelleuchte, LED 140W, 3000K, weiß</v>
      </c>
      <c r="C2307" s="16">
        <v>1250.5</v>
      </c>
      <c r="D2307" s="11">
        <v>141</v>
      </c>
      <c r="E2307" s="7">
        <f t="shared" si="107"/>
        <v>1</v>
      </c>
      <c r="F2307" s="22" t="str">
        <f>IF(ISERROR(VLOOKUP($A2307,#REF!,3,0)),"x",VLOOKUP($A2307,#REF!,3,FALSE))</f>
        <v>x</v>
      </c>
      <c r="G2307" s="9">
        <f t="shared" ref="G2307:G2370" si="108">IF(C2307&lt;F2307,1,IF(C2307&gt;F2307,-1,0))</f>
        <v>1</v>
      </c>
      <c r="H2307" s="13">
        <f t="shared" si="106"/>
        <v>1250.5</v>
      </c>
    </row>
    <row r="2308" spans="1:8" ht="15" customHeight="1" x14ac:dyDescent="0.25">
      <c r="A2308" s="2" t="str">
        <f>"SUDR3-140WW2D-N"</f>
        <v>SUDR3-140WW2D-N</v>
      </c>
      <c r="B2308" s="2" t="str">
        <f>"SUDR3, Ringförmige Decken-/Pendelleuchte, LED 140W, 3000K, schwarz"</f>
        <v>SUDR3, Ringförmige Decken-/Pendelleuchte, LED 140W, 3000K, schwarz</v>
      </c>
      <c r="C2308" s="16">
        <v>1250.5</v>
      </c>
      <c r="D2308" s="11">
        <v>141</v>
      </c>
      <c r="E2308" s="7">
        <f t="shared" si="107"/>
        <v>1</v>
      </c>
      <c r="F2308" s="22" t="str">
        <f>IF(ISERROR(VLOOKUP($A2308,#REF!,3,0)),"x",VLOOKUP($A2308,#REF!,3,FALSE))</f>
        <v>x</v>
      </c>
      <c r="G2308" s="9">
        <f t="shared" si="108"/>
        <v>1</v>
      </c>
      <c r="H2308" s="13">
        <f t="shared" si="106"/>
        <v>1250.5</v>
      </c>
    </row>
    <row r="2309" spans="1:8" ht="15" customHeight="1" x14ac:dyDescent="0.25">
      <c r="A2309" s="2" t="str">
        <f>"SUDR3-140WW4D-N"</f>
        <v>SUDR3-140WW4D-N</v>
      </c>
      <c r="B2309" s="2" t="str">
        <f>"SUDR3, Ringförmige Decken-/Pendelleuchte, LED 140W, 3000K, messing-geb"</f>
        <v>SUDR3, Ringförmige Decken-/Pendelleuchte, LED 140W, 3000K, messing-geb</v>
      </c>
      <c r="C2309" s="16">
        <v>1680.25</v>
      </c>
      <c r="D2309" s="11">
        <v>141</v>
      </c>
      <c r="E2309" s="7">
        <f t="shared" si="107"/>
        <v>1</v>
      </c>
      <c r="F2309" s="22" t="str">
        <f>IF(ISERROR(VLOOKUP($A2309,#REF!,3,0)),"x",VLOOKUP($A2309,#REF!,3,FALSE))</f>
        <v>x</v>
      </c>
      <c r="G2309" s="9">
        <f t="shared" si="108"/>
        <v>1</v>
      </c>
      <c r="H2309" s="13">
        <f t="shared" ref="H2309:H2372" si="109">IF(F2309="x",C2309,F2309)</f>
        <v>1680.25</v>
      </c>
    </row>
    <row r="2310" spans="1:8" ht="15" customHeight="1" x14ac:dyDescent="0.25">
      <c r="A2310" s="2" t="s">
        <v>37</v>
      </c>
      <c r="B2310" s="2" t="str">
        <f>"SUDR3, Ringförmige Decken-/Pendelleuchte, LED 92W, 2700K, weiß"</f>
        <v>SUDR3, Ringförmige Decken-/Pendelleuchte, LED 92W, 2700K, weiß</v>
      </c>
      <c r="C2310" s="16">
        <v>888.5</v>
      </c>
      <c r="D2310" s="11">
        <v>141</v>
      </c>
      <c r="E2310" s="7">
        <f t="shared" si="107"/>
        <v>1</v>
      </c>
      <c r="F2310" s="22" t="str">
        <f>IF(ISERROR(VLOOKUP($A2310,#REF!,3,0)),"x",VLOOKUP($A2310,#REF!,3,FALSE))</f>
        <v>x</v>
      </c>
      <c r="G2310" s="9">
        <f t="shared" si="108"/>
        <v>1</v>
      </c>
      <c r="H2310" s="13">
        <f t="shared" si="109"/>
        <v>888.5</v>
      </c>
    </row>
    <row r="2311" spans="1:8" ht="15" customHeight="1" x14ac:dyDescent="0.25">
      <c r="A2311" s="2" t="s">
        <v>38</v>
      </c>
      <c r="B2311" s="2" t="str">
        <f>"SUDR3, Ringförmige Decken-/Pendelleuchte, LED 92W, 2700K, schwarz"</f>
        <v>SUDR3, Ringförmige Decken-/Pendelleuchte, LED 92W, 2700K, schwarz</v>
      </c>
      <c r="C2311" s="16">
        <v>888.5</v>
      </c>
      <c r="D2311" s="11">
        <v>141</v>
      </c>
      <c r="E2311" s="7">
        <f t="shared" si="107"/>
        <v>1</v>
      </c>
      <c r="F2311" s="22" t="str">
        <f>IF(ISERROR(VLOOKUP($A2311,#REF!,3,0)),"x",VLOOKUP($A2311,#REF!,3,FALSE))</f>
        <v>x</v>
      </c>
      <c r="G2311" s="9">
        <f t="shared" si="108"/>
        <v>1</v>
      </c>
      <c r="H2311" s="13">
        <f t="shared" si="109"/>
        <v>888.5</v>
      </c>
    </row>
    <row r="2312" spans="1:8" ht="15" customHeight="1" x14ac:dyDescent="0.25">
      <c r="A2312" s="2" t="s">
        <v>39</v>
      </c>
      <c r="B2312" s="2" t="str">
        <f>"SUDR3, Ringförmige Decken-/Pendelleuchte, LED 92W, 2700K, messing-geb."</f>
        <v>SUDR3, Ringförmige Decken-/Pendelleuchte, LED 92W, 2700K, messing-geb.</v>
      </c>
      <c r="C2312" s="16">
        <v>1091.5</v>
      </c>
      <c r="D2312" s="11">
        <v>141</v>
      </c>
      <c r="E2312" s="7">
        <f t="shared" si="107"/>
        <v>1</v>
      </c>
      <c r="F2312" s="22" t="str">
        <f>IF(ISERROR(VLOOKUP($A2312,#REF!,3,0)),"x",VLOOKUP($A2312,#REF!,3,FALSE))</f>
        <v>x</v>
      </c>
      <c r="G2312" s="9">
        <f t="shared" si="108"/>
        <v>1</v>
      </c>
      <c r="H2312" s="13">
        <f t="shared" si="109"/>
        <v>1091.5</v>
      </c>
    </row>
    <row r="2313" spans="1:8" x14ac:dyDescent="0.25">
      <c r="A2313" s="2" t="str">
        <f>"SUDR3-92WW1D-N"</f>
        <v>SUDR3-92WW1D-N</v>
      </c>
      <c r="B2313" s="2" t="str">
        <f>"SUDR3, Ringförmige Decken-/Pendelleuchte, LED 92W, 3000K, weiß"</f>
        <v>SUDR3, Ringförmige Decken-/Pendelleuchte, LED 92W, 3000K, weiß</v>
      </c>
      <c r="C2313" s="16">
        <v>888.5</v>
      </c>
      <c r="D2313" s="11">
        <v>141</v>
      </c>
      <c r="E2313" s="7">
        <f t="shared" si="107"/>
        <v>1</v>
      </c>
      <c r="F2313" s="22" t="str">
        <f>IF(ISERROR(VLOOKUP($A2313,#REF!,3,0)),"x",VLOOKUP($A2313,#REF!,3,FALSE))</f>
        <v>x</v>
      </c>
      <c r="G2313" s="9">
        <f t="shared" si="108"/>
        <v>1</v>
      </c>
      <c r="H2313" s="13">
        <f t="shared" si="109"/>
        <v>888.5</v>
      </c>
    </row>
    <row r="2314" spans="1:8" x14ac:dyDescent="0.25">
      <c r="A2314" s="2" t="str">
        <f>"SUDR3-92WW2D-N"</f>
        <v>SUDR3-92WW2D-N</v>
      </c>
      <c r="B2314" s="2" t="str">
        <f>"SUDR3, Ringförmige Decken-/Pendelleuchte, LED 92W, 3000K, schwarz"</f>
        <v>SUDR3, Ringförmige Decken-/Pendelleuchte, LED 92W, 3000K, schwarz</v>
      </c>
      <c r="C2314" s="16">
        <v>888.5</v>
      </c>
      <c r="D2314" s="11">
        <v>141</v>
      </c>
      <c r="E2314" s="7">
        <f t="shared" si="107"/>
        <v>1</v>
      </c>
      <c r="F2314" s="22" t="str">
        <f>IF(ISERROR(VLOOKUP($A2314,#REF!,3,0)),"x",VLOOKUP($A2314,#REF!,3,FALSE))</f>
        <v>x</v>
      </c>
      <c r="G2314" s="9">
        <f t="shared" si="108"/>
        <v>1</v>
      </c>
      <c r="H2314" s="13">
        <f t="shared" si="109"/>
        <v>888.5</v>
      </c>
    </row>
    <row r="2315" spans="1:8" x14ac:dyDescent="0.25">
      <c r="A2315" s="2" t="str">
        <f>"SUDR3-92WW4D-N"</f>
        <v>SUDR3-92WW4D-N</v>
      </c>
      <c r="B2315" s="2" t="str">
        <f>"SUDR3, Ringförmige Decken-/Pendelleuchte, LED 92W, 3000K, messing-geb."</f>
        <v>SUDR3, Ringförmige Decken-/Pendelleuchte, LED 92W, 3000K, messing-geb.</v>
      </c>
      <c r="C2315" s="16">
        <v>1091.5</v>
      </c>
      <c r="D2315" s="11">
        <v>141</v>
      </c>
      <c r="E2315" s="7">
        <f t="shared" si="107"/>
        <v>1</v>
      </c>
      <c r="F2315" s="22" t="str">
        <f>IF(ISERROR(VLOOKUP($A2315,#REF!,3,0)),"x",VLOOKUP($A2315,#REF!,3,FALSE))</f>
        <v>x</v>
      </c>
      <c r="G2315" s="9">
        <f t="shared" si="108"/>
        <v>1</v>
      </c>
      <c r="H2315" s="13">
        <f t="shared" si="109"/>
        <v>1091.5</v>
      </c>
    </row>
    <row r="2316" spans="1:8" x14ac:dyDescent="0.25">
      <c r="A2316" s="2" t="str">
        <f>"TAK-18SWW6-NB2"</f>
        <v>TAK-18SWW6-NB2</v>
      </c>
      <c r="B2316" s="2" t="str">
        <f>"Straßen - und Wegeleuchte, Ausstrahlwinkel: NB2, 18W, 1550lm, 1800K"</f>
        <v>Straßen - und Wegeleuchte, Ausstrahlwinkel: NB2, 18W, 1550lm, 1800K</v>
      </c>
      <c r="C2316" s="16">
        <v>325</v>
      </c>
      <c r="D2316" s="11">
        <v>359</v>
      </c>
      <c r="E2316" s="7">
        <f t="shared" si="107"/>
        <v>1</v>
      </c>
      <c r="F2316" s="22" t="str">
        <f>IF(ISERROR(VLOOKUP($A2316,#REF!,3,0)),"x",VLOOKUP($A2316,#REF!,3,FALSE))</f>
        <v>x</v>
      </c>
      <c r="G2316" s="9">
        <f t="shared" si="108"/>
        <v>1</v>
      </c>
      <c r="H2316" s="13">
        <f t="shared" si="109"/>
        <v>325</v>
      </c>
    </row>
    <row r="2317" spans="1:8" x14ac:dyDescent="0.25">
      <c r="A2317" s="2" t="str">
        <f>"TAK-18SWW6-NB3"</f>
        <v>TAK-18SWW6-NB3</v>
      </c>
      <c r="B2317" s="2" t="str">
        <f>"Straßen - und Wegeleuchte, Ausstrahlwinkel: NB3, 18W, 1550lm, 1800K"</f>
        <v>Straßen - und Wegeleuchte, Ausstrahlwinkel: NB3, 18W, 1550lm, 1800K</v>
      </c>
      <c r="C2317" s="16">
        <v>325</v>
      </c>
      <c r="D2317" s="11">
        <v>359</v>
      </c>
      <c r="E2317" s="7">
        <f t="shared" si="107"/>
        <v>1</v>
      </c>
      <c r="F2317" s="22" t="str">
        <f>IF(ISERROR(VLOOKUP($A2317,#REF!,3,0)),"x",VLOOKUP($A2317,#REF!,3,FALSE))</f>
        <v>x</v>
      </c>
      <c r="G2317" s="9">
        <f t="shared" si="108"/>
        <v>1</v>
      </c>
      <c r="H2317" s="13">
        <f t="shared" si="109"/>
        <v>325</v>
      </c>
    </row>
    <row r="2318" spans="1:8" x14ac:dyDescent="0.25">
      <c r="A2318" s="2" t="str">
        <f>"TAK-18SWW6-WB"</f>
        <v>TAK-18SWW6-WB</v>
      </c>
      <c r="B2318" s="2" t="str">
        <f>"Straßen - und Wegeleuchte, breitstrahlend, 18W, 1550lm, 1800K"</f>
        <v>Straßen - und Wegeleuchte, breitstrahlend, 18W, 1550lm, 1800K</v>
      </c>
      <c r="C2318" s="16">
        <v>325</v>
      </c>
      <c r="D2318" s="11">
        <v>359</v>
      </c>
      <c r="E2318" s="7">
        <f t="shared" si="107"/>
        <v>1</v>
      </c>
      <c r="F2318" s="22" t="str">
        <f>IF(ISERROR(VLOOKUP($A2318,#REF!,3,0)),"x",VLOOKUP($A2318,#REF!,3,FALSE))</f>
        <v>x</v>
      </c>
      <c r="G2318" s="9">
        <f t="shared" si="108"/>
        <v>1</v>
      </c>
      <c r="H2318" s="13">
        <f t="shared" si="109"/>
        <v>325</v>
      </c>
    </row>
    <row r="2319" spans="1:8" x14ac:dyDescent="0.25">
      <c r="A2319" s="2" t="str">
        <f>"TAK-36SWW6-NB2"</f>
        <v>TAK-36SWW6-NB2</v>
      </c>
      <c r="B2319" s="2" t="str">
        <f>"Straßen - und Wegeleuchte, Ausstrahlwinkel: NB2, 36W, 3100lm, 1800K"</f>
        <v>Straßen - und Wegeleuchte, Ausstrahlwinkel: NB2, 36W, 3100lm, 1800K</v>
      </c>
      <c r="C2319" s="16">
        <v>367.5</v>
      </c>
      <c r="D2319" s="11">
        <v>359</v>
      </c>
      <c r="E2319" s="7">
        <f t="shared" si="107"/>
        <v>1</v>
      </c>
      <c r="F2319" s="22" t="str">
        <f>IF(ISERROR(VLOOKUP($A2319,#REF!,3,0)),"x",VLOOKUP($A2319,#REF!,3,FALSE))</f>
        <v>x</v>
      </c>
      <c r="G2319" s="9">
        <f t="shared" si="108"/>
        <v>1</v>
      </c>
      <c r="H2319" s="13">
        <f t="shared" si="109"/>
        <v>367.5</v>
      </c>
    </row>
    <row r="2320" spans="1:8" x14ac:dyDescent="0.25">
      <c r="A2320" s="2" t="str">
        <f>"TAK-36SWW6-WB"</f>
        <v>TAK-36SWW6-WB</v>
      </c>
      <c r="B2320" s="2" t="str">
        <f>"Straßen - und Wegeleuchte, breitstrahlend, 36W, 3100lm, 1800K"</f>
        <v>Straßen - und Wegeleuchte, breitstrahlend, 36W, 3100lm, 1800K</v>
      </c>
      <c r="C2320" s="16">
        <v>367.5</v>
      </c>
      <c r="D2320" s="11">
        <v>359</v>
      </c>
      <c r="E2320" s="7">
        <f t="shared" si="107"/>
        <v>1</v>
      </c>
      <c r="F2320" s="22" t="str">
        <f>IF(ISERROR(VLOOKUP($A2320,#REF!,3,0)),"x",VLOOKUP($A2320,#REF!,3,FALSE))</f>
        <v>x</v>
      </c>
      <c r="G2320" s="9">
        <f t="shared" si="108"/>
        <v>1</v>
      </c>
      <c r="H2320" s="13">
        <f t="shared" si="109"/>
        <v>367.5</v>
      </c>
    </row>
    <row r="2321" spans="1:8" x14ac:dyDescent="0.25">
      <c r="A2321" s="2" t="str">
        <f>"TAK-54SWW6-NB2"</f>
        <v>TAK-54SWW6-NB2</v>
      </c>
      <c r="B2321" s="2" t="str">
        <f>"Straßen - und Wegeleuchte, Ausstrahlwinkel: NB2, 54W, 4600lm, 1800K"</f>
        <v>Straßen - und Wegeleuchte, Ausstrahlwinkel: NB2, 54W, 4600lm, 1800K</v>
      </c>
      <c r="C2321" s="16">
        <v>475</v>
      </c>
      <c r="D2321" s="11">
        <v>359</v>
      </c>
      <c r="E2321" s="7">
        <f t="shared" si="107"/>
        <v>1</v>
      </c>
      <c r="F2321" s="22" t="str">
        <f>IF(ISERROR(VLOOKUP($A2321,#REF!,3,0)),"x",VLOOKUP($A2321,#REF!,3,FALSE))</f>
        <v>x</v>
      </c>
      <c r="G2321" s="9">
        <f t="shared" si="108"/>
        <v>1</v>
      </c>
      <c r="H2321" s="13">
        <f t="shared" si="109"/>
        <v>475</v>
      </c>
    </row>
    <row r="2322" spans="1:8" x14ac:dyDescent="0.25">
      <c r="A2322" s="2" t="str">
        <f>"TAK-54SWW6-NB3"</f>
        <v>TAK-54SWW6-NB3</v>
      </c>
      <c r="B2322" s="2" t="str">
        <f>"Straßen - und Wegeleuchte, Ausstrahlwinkel: NB3, 54W, 4600lm, 1800K"</f>
        <v>Straßen - und Wegeleuchte, Ausstrahlwinkel: NB3, 54W, 4600lm, 1800K</v>
      </c>
      <c r="C2322" s="16">
        <v>475</v>
      </c>
      <c r="D2322" s="11">
        <v>359</v>
      </c>
      <c r="E2322" s="7">
        <f t="shared" si="107"/>
        <v>1</v>
      </c>
      <c r="F2322" s="22" t="str">
        <f>IF(ISERROR(VLOOKUP($A2322,#REF!,3,0)),"x",VLOOKUP($A2322,#REF!,3,FALSE))</f>
        <v>x</v>
      </c>
      <c r="G2322" s="9">
        <f t="shared" si="108"/>
        <v>1</v>
      </c>
      <c r="H2322" s="13">
        <f t="shared" si="109"/>
        <v>475</v>
      </c>
    </row>
    <row r="2323" spans="1:8" x14ac:dyDescent="0.25">
      <c r="A2323" s="2" t="str">
        <f>"TAK-54SWW6-WB"</f>
        <v>TAK-54SWW6-WB</v>
      </c>
      <c r="B2323" s="2" t="str">
        <f>"Straßen - und Wegeleuchte, breitstrahlend,  54W, 4600lm, 1800K"</f>
        <v>Straßen - und Wegeleuchte, breitstrahlend,  54W, 4600lm, 1800K</v>
      </c>
      <c r="C2323" s="16">
        <v>475</v>
      </c>
      <c r="D2323" s="11">
        <v>359</v>
      </c>
      <c r="E2323" s="7">
        <f t="shared" si="107"/>
        <v>1</v>
      </c>
      <c r="F2323" s="22" t="str">
        <f>IF(ISERROR(VLOOKUP($A2323,#REF!,3,0)),"x",VLOOKUP($A2323,#REF!,3,FALSE))</f>
        <v>x</v>
      </c>
      <c r="G2323" s="9">
        <f t="shared" si="108"/>
        <v>1</v>
      </c>
      <c r="H2323" s="13">
        <f t="shared" si="109"/>
        <v>475</v>
      </c>
    </row>
    <row r="2324" spans="1:8" x14ac:dyDescent="0.25">
      <c r="A2324" s="2" t="str">
        <f>"TAK-80SWW6-NB2"</f>
        <v>TAK-80SWW6-NB2</v>
      </c>
      <c r="B2324" s="2" t="str">
        <f>"Straßen - und Wegeleuchte, Ausstrahlwinkel: NB2  80W, 7100lm, 1800K"</f>
        <v>Straßen - und Wegeleuchte, Ausstrahlwinkel: NB2  80W, 7100lm, 1800K</v>
      </c>
      <c r="C2324" s="16">
        <v>517.5</v>
      </c>
      <c r="D2324" s="11">
        <v>359</v>
      </c>
      <c r="E2324" s="7">
        <f t="shared" si="107"/>
        <v>1</v>
      </c>
      <c r="F2324" s="22" t="str">
        <f>IF(ISERROR(VLOOKUP($A2324,#REF!,3,0)),"x",VLOOKUP($A2324,#REF!,3,FALSE))</f>
        <v>x</v>
      </c>
      <c r="G2324" s="9">
        <f t="shared" si="108"/>
        <v>1</v>
      </c>
      <c r="H2324" s="13">
        <f t="shared" si="109"/>
        <v>517.5</v>
      </c>
    </row>
    <row r="2325" spans="1:8" x14ac:dyDescent="0.25">
      <c r="A2325" s="2" t="str">
        <f>"TAK-80SWW6-WB"</f>
        <v>TAK-80SWW6-WB</v>
      </c>
      <c r="B2325" s="2" t="str">
        <f>"Straßen - und Wegeleuchte, breitstrahlend,  80W, 7100lm, 1800K"</f>
        <v>Straßen - und Wegeleuchte, breitstrahlend,  80W, 7100lm, 1800K</v>
      </c>
      <c r="C2325" s="16">
        <v>517.5</v>
      </c>
      <c r="D2325" s="11">
        <v>359</v>
      </c>
      <c r="E2325" s="7">
        <f t="shared" si="107"/>
        <v>1</v>
      </c>
      <c r="F2325" s="22" t="str">
        <f>IF(ISERROR(VLOOKUP($A2325,#REF!,3,0)),"x",VLOOKUP($A2325,#REF!,3,FALSE))</f>
        <v>x</v>
      </c>
      <c r="G2325" s="9">
        <f t="shared" si="108"/>
        <v>1</v>
      </c>
      <c r="H2325" s="13">
        <f t="shared" si="109"/>
        <v>517.5</v>
      </c>
    </row>
    <row r="2326" spans="1:8" x14ac:dyDescent="0.25">
      <c r="A2326" s="2" t="str">
        <f>"TAL-10NW08"</f>
        <v>TAL-10NW08</v>
      </c>
      <c r="B2326" s="2" t="str">
        <f>"TALON Wand, 10,7W, 1 Lichtaustritt, 4000K, 19°, inkl. Netzteil, sand"</f>
        <v>TALON Wand, 10,7W, 1 Lichtaustritt, 4000K, 19°, inkl. Netzteil, sand</v>
      </c>
      <c r="C2326" s="16">
        <v>267.5</v>
      </c>
      <c r="D2326" s="11">
        <v>267</v>
      </c>
      <c r="E2326" s="7">
        <f t="shared" si="107"/>
        <v>1</v>
      </c>
      <c r="F2326" s="22" t="str">
        <f>IF(ISERROR(VLOOKUP($A2326,#REF!,3,0)),"x",VLOOKUP($A2326,#REF!,3,FALSE))</f>
        <v>x</v>
      </c>
      <c r="G2326" s="9">
        <f t="shared" si="108"/>
        <v>1</v>
      </c>
      <c r="H2326" s="13">
        <f t="shared" si="109"/>
        <v>267.5</v>
      </c>
    </row>
    <row r="2327" spans="1:8" x14ac:dyDescent="0.25">
      <c r="A2327" s="2" t="str">
        <f>"TAL-10NW08F"</f>
        <v>TAL-10NW08F</v>
      </c>
      <c r="B2327" s="2" t="str">
        <f>"TALON Wand, 10,7W, 1 Lichtaustritt, 4000K, 65°, inkl. Netzteil, sand"</f>
        <v>TALON Wand, 10,7W, 1 Lichtaustritt, 4000K, 65°, inkl. Netzteil, sand</v>
      </c>
      <c r="C2327" s="16">
        <v>267.5</v>
      </c>
      <c r="D2327" s="11">
        <v>267</v>
      </c>
      <c r="E2327" s="7">
        <f t="shared" si="107"/>
        <v>1</v>
      </c>
      <c r="F2327" s="22" t="str">
        <f>IF(ISERROR(VLOOKUP($A2327,#REF!,3,0)),"x",VLOOKUP($A2327,#REF!,3,FALSE))</f>
        <v>x</v>
      </c>
      <c r="G2327" s="9">
        <f t="shared" si="108"/>
        <v>1</v>
      </c>
      <c r="H2327" s="13">
        <f t="shared" si="109"/>
        <v>267.5</v>
      </c>
    </row>
    <row r="2328" spans="1:8" x14ac:dyDescent="0.25">
      <c r="A2328" s="2" t="str">
        <f>"TAL-10NW08M"</f>
        <v>TAL-10NW08M</v>
      </c>
      <c r="B2328" s="2" t="str">
        <f>"TALON Wand, 10,7W, 1 Lichtaustritt, 4000K, 32°, inkl. Netzteil, sand"</f>
        <v>TALON Wand, 10,7W, 1 Lichtaustritt, 4000K, 32°, inkl. Netzteil, sand</v>
      </c>
      <c r="C2328" s="16">
        <v>267.5</v>
      </c>
      <c r="D2328" s="11">
        <v>267</v>
      </c>
      <c r="E2328" s="7">
        <f t="shared" si="107"/>
        <v>1</v>
      </c>
      <c r="F2328" s="22" t="str">
        <f>IF(ISERROR(VLOOKUP($A2328,#REF!,3,0)),"x",VLOOKUP($A2328,#REF!,3,FALSE))</f>
        <v>x</v>
      </c>
      <c r="G2328" s="9">
        <f t="shared" si="108"/>
        <v>1</v>
      </c>
      <c r="H2328" s="13">
        <f t="shared" si="109"/>
        <v>267.5</v>
      </c>
    </row>
    <row r="2329" spans="1:8" x14ac:dyDescent="0.25">
      <c r="A2329" s="2" t="str">
        <f>"TAL-10NW1"</f>
        <v>TAL-10NW1</v>
      </c>
      <c r="B2329" s="2" t="str">
        <f>"TALON Wand, 10,7W, 1 Lichtaustritt, 4000K, 19°, inkl. Netzteil, weiß"</f>
        <v>TALON Wand, 10,7W, 1 Lichtaustritt, 4000K, 19°, inkl. Netzteil, weiß</v>
      </c>
      <c r="C2329" s="16">
        <v>267.5</v>
      </c>
      <c r="D2329" s="11">
        <v>267</v>
      </c>
      <c r="E2329" s="7">
        <f t="shared" si="107"/>
        <v>1</v>
      </c>
      <c r="F2329" s="22" t="str">
        <f>IF(ISERROR(VLOOKUP($A2329,#REF!,3,0)),"x",VLOOKUP($A2329,#REF!,3,FALSE))</f>
        <v>x</v>
      </c>
      <c r="G2329" s="9">
        <f t="shared" si="108"/>
        <v>1</v>
      </c>
      <c r="H2329" s="13">
        <f t="shared" si="109"/>
        <v>267.5</v>
      </c>
    </row>
    <row r="2330" spans="1:8" x14ac:dyDescent="0.25">
      <c r="A2330" s="2" t="str">
        <f>"TAL-10NW1F"</f>
        <v>TAL-10NW1F</v>
      </c>
      <c r="B2330" s="2" t="str">
        <f>"TALON Wand, 10,7W, 1 Lichtaustritt, 4000K, 65°, inkl. Netzteil, weiß"</f>
        <v>TALON Wand, 10,7W, 1 Lichtaustritt, 4000K, 65°, inkl. Netzteil, weiß</v>
      </c>
      <c r="C2330" s="16">
        <v>267.5</v>
      </c>
      <c r="D2330" s="11">
        <v>267</v>
      </c>
      <c r="E2330" s="7">
        <f t="shared" si="107"/>
        <v>1</v>
      </c>
      <c r="F2330" s="22" t="str">
        <f>IF(ISERROR(VLOOKUP($A2330,#REF!,3,0)),"x",VLOOKUP($A2330,#REF!,3,FALSE))</f>
        <v>x</v>
      </c>
      <c r="G2330" s="9">
        <f t="shared" si="108"/>
        <v>1</v>
      </c>
      <c r="H2330" s="13">
        <f t="shared" si="109"/>
        <v>267.5</v>
      </c>
    </row>
    <row r="2331" spans="1:8" x14ac:dyDescent="0.25">
      <c r="A2331" s="2" t="str">
        <f>"TAL-10NW1M"</f>
        <v>TAL-10NW1M</v>
      </c>
      <c r="B2331" s="2" t="str">
        <f>"TALON Wand, 10,7W, 1 Lichtaustritt, 4000K, 32°, inkl. Netzteil, weiß"</f>
        <v>TALON Wand, 10,7W, 1 Lichtaustritt, 4000K, 32°, inkl. Netzteil, weiß</v>
      </c>
      <c r="C2331" s="16">
        <v>267.5</v>
      </c>
      <c r="D2331" s="11">
        <v>267</v>
      </c>
      <c r="E2331" s="7">
        <f t="shared" si="107"/>
        <v>1</v>
      </c>
      <c r="F2331" s="22" t="str">
        <f>IF(ISERROR(VLOOKUP($A2331,#REF!,3,0)),"x",VLOOKUP($A2331,#REF!,3,FALSE))</f>
        <v>x</v>
      </c>
      <c r="G2331" s="9">
        <f t="shared" si="108"/>
        <v>1</v>
      </c>
      <c r="H2331" s="13">
        <f t="shared" si="109"/>
        <v>267.5</v>
      </c>
    </row>
    <row r="2332" spans="1:8" x14ac:dyDescent="0.25">
      <c r="A2332" s="2" t="str">
        <f>"TAL-10NW6"</f>
        <v>TAL-10NW6</v>
      </c>
      <c r="B2332" s="2" t="str">
        <f>"TALON Wand, 10,7W, 1 Lichtaustritt, 4000K, 19°, inkl. Netzteil, anthrazit"</f>
        <v>TALON Wand, 10,7W, 1 Lichtaustritt, 4000K, 19°, inkl. Netzteil, anthrazit</v>
      </c>
      <c r="C2332" s="16">
        <v>267.5</v>
      </c>
      <c r="D2332" s="11">
        <v>267</v>
      </c>
      <c r="E2332" s="7">
        <f t="shared" si="107"/>
        <v>1</v>
      </c>
      <c r="F2332" s="22" t="str">
        <f>IF(ISERROR(VLOOKUP($A2332,#REF!,3,0)),"x",VLOOKUP($A2332,#REF!,3,FALSE))</f>
        <v>x</v>
      </c>
      <c r="G2332" s="9">
        <f t="shared" si="108"/>
        <v>1</v>
      </c>
      <c r="H2332" s="13">
        <f t="shared" si="109"/>
        <v>267.5</v>
      </c>
    </row>
    <row r="2333" spans="1:8" x14ac:dyDescent="0.25">
      <c r="A2333" s="2" t="str">
        <f>"TAL-10NW6F"</f>
        <v>TAL-10NW6F</v>
      </c>
      <c r="B2333" s="2" t="str">
        <f>"TALON Wand, 10,7W, 1 Lichtaustritt, 4000K, 65°, inkl. Netzteil, anthrazit"</f>
        <v>TALON Wand, 10,7W, 1 Lichtaustritt, 4000K, 65°, inkl. Netzteil, anthrazit</v>
      </c>
      <c r="C2333" s="16">
        <v>267.5</v>
      </c>
      <c r="D2333" s="11">
        <v>267</v>
      </c>
      <c r="E2333" s="7">
        <f t="shared" si="107"/>
        <v>1</v>
      </c>
      <c r="F2333" s="22" t="str">
        <f>IF(ISERROR(VLOOKUP($A2333,#REF!,3,0)),"x",VLOOKUP($A2333,#REF!,3,FALSE))</f>
        <v>x</v>
      </c>
      <c r="G2333" s="9">
        <f t="shared" si="108"/>
        <v>1</v>
      </c>
      <c r="H2333" s="13">
        <f t="shared" si="109"/>
        <v>267.5</v>
      </c>
    </row>
    <row r="2334" spans="1:8" x14ac:dyDescent="0.25">
      <c r="A2334" s="2" t="str">
        <f>"TAL-10NW6M"</f>
        <v>TAL-10NW6M</v>
      </c>
      <c r="B2334" s="2" t="str">
        <f>"TALON Wand, 10,7W, 1 Lichtaustritt, 4000K, 32°, inkl. Netzteil, anthrazit"</f>
        <v>TALON Wand, 10,7W, 1 Lichtaustritt, 4000K, 32°, inkl. Netzteil, anthrazit</v>
      </c>
      <c r="C2334" s="16">
        <v>267.5</v>
      </c>
      <c r="D2334" s="11">
        <v>267</v>
      </c>
      <c r="E2334" s="7">
        <f t="shared" si="107"/>
        <v>1</v>
      </c>
      <c r="F2334" s="22" t="str">
        <f>IF(ISERROR(VLOOKUP($A2334,#REF!,3,0)),"x",VLOOKUP($A2334,#REF!,3,FALSE))</f>
        <v>x</v>
      </c>
      <c r="G2334" s="9">
        <f t="shared" si="108"/>
        <v>1</v>
      </c>
      <c r="H2334" s="13">
        <f t="shared" si="109"/>
        <v>267.5</v>
      </c>
    </row>
    <row r="2335" spans="1:8" x14ac:dyDescent="0.25">
      <c r="A2335" s="2" t="str">
        <f>"TAL-10NW7"</f>
        <v>TAL-10NW7</v>
      </c>
      <c r="B2335" s="2" t="str">
        <f>"TALON Wand, 10,7W, 1 Lichtaustritt, 4000K, 19°, inkl. Netzteil, alugrau"</f>
        <v>TALON Wand, 10,7W, 1 Lichtaustritt, 4000K, 19°, inkl. Netzteil, alugrau</v>
      </c>
      <c r="C2335" s="16">
        <v>267.5</v>
      </c>
      <c r="D2335" s="11">
        <v>267</v>
      </c>
      <c r="E2335" s="7">
        <f t="shared" si="107"/>
        <v>1</v>
      </c>
      <c r="F2335" s="22" t="str">
        <f>IF(ISERROR(VLOOKUP($A2335,#REF!,3,0)),"x",VLOOKUP($A2335,#REF!,3,FALSE))</f>
        <v>x</v>
      </c>
      <c r="G2335" s="9">
        <f t="shared" si="108"/>
        <v>1</v>
      </c>
      <c r="H2335" s="13">
        <f t="shared" si="109"/>
        <v>267.5</v>
      </c>
    </row>
    <row r="2336" spans="1:8" x14ac:dyDescent="0.25">
      <c r="A2336" s="2" t="str">
        <f>"TAL-10NW7F"</f>
        <v>TAL-10NW7F</v>
      </c>
      <c r="B2336" s="2" t="str">
        <f>"TALON Wand, 10,7W, 1 Lichtaustritt, 4000K, 65°, inkl. Netzteil, alugrau"</f>
        <v>TALON Wand, 10,7W, 1 Lichtaustritt, 4000K, 65°, inkl. Netzteil, alugrau</v>
      </c>
      <c r="C2336" s="16">
        <v>267.5</v>
      </c>
      <c r="D2336" s="11">
        <v>267</v>
      </c>
      <c r="E2336" s="7">
        <f t="shared" si="107"/>
        <v>1</v>
      </c>
      <c r="F2336" s="22" t="str">
        <f>IF(ISERROR(VLOOKUP($A2336,#REF!,3,0)),"x",VLOOKUP($A2336,#REF!,3,FALSE))</f>
        <v>x</v>
      </c>
      <c r="G2336" s="9">
        <f t="shared" si="108"/>
        <v>1</v>
      </c>
      <c r="H2336" s="13">
        <f t="shared" si="109"/>
        <v>267.5</v>
      </c>
    </row>
    <row r="2337" spans="1:8" x14ac:dyDescent="0.25">
      <c r="A2337" s="2" t="str">
        <f>"TAL-10NW7M"</f>
        <v>TAL-10NW7M</v>
      </c>
      <c r="B2337" s="2" t="str">
        <f>"TALON Wand, 10,7W, 1 Lichtaustritt, 4000K, 32°, inkl. Netzteil, alugrau"</f>
        <v>TALON Wand, 10,7W, 1 Lichtaustritt, 4000K, 32°, inkl. Netzteil, alugrau</v>
      </c>
      <c r="C2337" s="16">
        <v>267.5</v>
      </c>
      <c r="D2337" s="11">
        <v>267</v>
      </c>
      <c r="E2337" s="7">
        <f t="shared" si="107"/>
        <v>1</v>
      </c>
      <c r="F2337" s="22" t="str">
        <f>IF(ISERROR(VLOOKUP($A2337,#REF!,3,0)),"x",VLOOKUP($A2337,#REF!,3,FALSE))</f>
        <v>x</v>
      </c>
      <c r="G2337" s="9">
        <f t="shared" si="108"/>
        <v>1</v>
      </c>
      <c r="H2337" s="13">
        <f t="shared" si="109"/>
        <v>267.5</v>
      </c>
    </row>
    <row r="2338" spans="1:8" x14ac:dyDescent="0.25">
      <c r="A2338" s="2" t="str">
        <f>"TAL-10WW08"</f>
        <v>TAL-10WW08</v>
      </c>
      <c r="B2338" s="2" t="str">
        <f>"TALON Wand, 10,7W, 1 Lichtaustritt, 3000K, 19°, inkl. Netzteil, sand"</f>
        <v>TALON Wand, 10,7W, 1 Lichtaustritt, 3000K, 19°, inkl. Netzteil, sand</v>
      </c>
      <c r="C2338" s="16">
        <v>267.5</v>
      </c>
      <c r="D2338" s="11">
        <v>267</v>
      </c>
      <c r="E2338" s="7">
        <f t="shared" si="107"/>
        <v>1</v>
      </c>
      <c r="F2338" s="22" t="str">
        <f>IF(ISERROR(VLOOKUP($A2338,#REF!,3,0)),"x",VLOOKUP($A2338,#REF!,3,FALSE))</f>
        <v>x</v>
      </c>
      <c r="G2338" s="9">
        <f t="shared" si="108"/>
        <v>1</v>
      </c>
      <c r="H2338" s="13">
        <f t="shared" si="109"/>
        <v>267.5</v>
      </c>
    </row>
    <row r="2339" spans="1:8" x14ac:dyDescent="0.25">
      <c r="A2339" s="2" t="str">
        <f>"TAL-10WW08F"</f>
        <v>TAL-10WW08F</v>
      </c>
      <c r="B2339" s="2" t="str">
        <f>"TALON Wand, 10,7W, 1 Lichtaustritt, 3000K, 65°, inkl. Netzteil, sand"</f>
        <v>TALON Wand, 10,7W, 1 Lichtaustritt, 3000K, 65°, inkl. Netzteil, sand</v>
      </c>
      <c r="C2339" s="16">
        <v>267.5</v>
      </c>
      <c r="D2339" s="11">
        <v>267</v>
      </c>
      <c r="E2339" s="7">
        <f t="shared" si="107"/>
        <v>1</v>
      </c>
      <c r="F2339" s="22" t="str">
        <f>IF(ISERROR(VLOOKUP($A2339,#REF!,3,0)),"x",VLOOKUP($A2339,#REF!,3,FALSE))</f>
        <v>x</v>
      </c>
      <c r="G2339" s="9">
        <f t="shared" si="108"/>
        <v>1</v>
      </c>
      <c r="H2339" s="13">
        <f t="shared" si="109"/>
        <v>267.5</v>
      </c>
    </row>
    <row r="2340" spans="1:8" x14ac:dyDescent="0.25">
      <c r="A2340" s="2" t="str">
        <f>"TAL-10WW08M"</f>
        <v>TAL-10WW08M</v>
      </c>
      <c r="B2340" s="2" t="str">
        <f>"TALON Wand, 10,7W, 1 Lichtaustritt, 3000K, 32°, inkl. Netzteil, sand"</f>
        <v>TALON Wand, 10,7W, 1 Lichtaustritt, 3000K, 32°, inkl. Netzteil, sand</v>
      </c>
      <c r="C2340" s="16">
        <v>267.5</v>
      </c>
      <c r="D2340" s="11">
        <v>267</v>
      </c>
      <c r="E2340" s="7">
        <f t="shared" si="107"/>
        <v>1</v>
      </c>
      <c r="F2340" s="22" t="str">
        <f>IF(ISERROR(VLOOKUP($A2340,#REF!,3,0)),"x",VLOOKUP($A2340,#REF!,3,FALSE))</f>
        <v>x</v>
      </c>
      <c r="G2340" s="9">
        <f t="shared" si="108"/>
        <v>1</v>
      </c>
      <c r="H2340" s="13">
        <f t="shared" si="109"/>
        <v>267.5</v>
      </c>
    </row>
    <row r="2341" spans="1:8" x14ac:dyDescent="0.25">
      <c r="A2341" s="2" t="str">
        <f>"TAL-10WW1"</f>
        <v>TAL-10WW1</v>
      </c>
      <c r="B2341" s="2" t="str">
        <f>"TALON Wand, 10,7W, 1 Lichtaustritt, 3000K, 19°, inkl. Netzteil, weiß"</f>
        <v>TALON Wand, 10,7W, 1 Lichtaustritt, 3000K, 19°, inkl. Netzteil, weiß</v>
      </c>
      <c r="C2341" s="16">
        <v>267.5</v>
      </c>
      <c r="D2341" s="11">
        <v>267</v>
      </c>
      <c r="E2341" s="7">
        <f t="shared" si="107"/>
        <v>1</v>
      </c>
      <c r="F2341" s="22" t="str">
        <f>IF(ISERROR(VLOOKUP($A2341,#REF!,3,0)),"x",VLOOKUP($A2341,#REF!,3,FALSE))</f>
        <v>x</v>
      </c>
      <c r="G2341" s="9">
        <f t="shared" si="108"/>
        <v>1</v>
      </c>
      <c r="H2341" s="13">
        <f t="shared" si="109"/>
        <v>267.5</v>
      </c>
    </row>
    <row r="2342" spans="1:8" x14ac:dyDescent="0.25">
      <c r="A2342" s="2" t="str">
        <f>"TAL-10WW1F"</f>
        <v>TAL-10WW1F</v>
      </c>
      <c r="B2342" s="2" t="str">
        <f>"TALON Wand, 10,7W, 1 Lichtaustritt, 3000K, 65°, inkl. Netzteil, weiß"</f>
        <v>TALON Wand, 10,7W, 1 Lichtaustritt, 3000K, 65°, inkl. Netzteil, weiß</v>
      </c>
      <c r="C2342" s="16">
        <v>267.5</v>
      </c>
      <c r="D2342" s="11">
        <v>267</v>
      </c>
      <c r="E2342" s="7">
        <f t="shared" si="107"/>
        <v>1</v>
      </c>
      <c r="F2342" s="22" t="str">
        <f>IF(ISERROR(VLOOKUP($A2342,#REF!,3,0)),"x",VLOOKUP($A2342,#REF!,3,FALSE))</f>
        <v>x</v>
      </c>
      <c r="G2342" s="9">
        <f t="shared" si="108"/>
        <v>1</v>
      </c>
      <c r="H2342" s="13">
        <f t="shared" si="109"/>
        <v>267.5</v>
      </c>
    </row>
    <row r="2343" spans="1:8" x14ac:dyDescent="0.25">
      <c r="A2343" s="2" t="str">
        <f>"TAL-10WW1M"</f>
        <v>TAL-10WW1M</v>
      </c>
      <c r="B2343" s="2" t="str">
        <f>"TALON Wand, 10,7W, 1 Lichtaustritt, 3000K, 65°, inkl. Netzteil, weiß"</f>
        <v>TALON Wand, 10,7W, 1 Lichtaustritt, 3000K, 65°, inkl. Netzteil, weiß</v>
      </c>
      <c r="C2343" s="16">
        <v>267.5</v>
      </c>
      <c r="D2343" s="11">
        <v>267</v>
      </c>
      <c r="E2343" s="7">
        <f t="shared" si="107"/>
        <v>1</v>
      </c>
      <c r="F2343" s="22" t="str">
        <f>IF(ISERROR(VLOOKUP($A2343,#REF!,3,0)),"x",VLOOKUP($A2343,#REF!,3,FALSE))</f>
        <v>x</v>
      </c>
      <c r="G2343" s="9">
        <f t="shared" si="108"/>
        <v>1</v>
      </c>
      <c r="H2343" s="13">
        <f t="shared" si="109"/>
        <v>267.5</v>
      </c>
    </row>
    <row r="2344" spans="1:8" x14ac:dyDescent="0.25">
      <c r="A2344" s="2" t="str">
        <f>"TAL-10WW6"</f>
        <v>TAL-10WW6</v>
      </c>
      <c r="B2344" s="2" t="str">
        <f>"TALON Wand, 10,7W, 1 Lichtaustritt, 3000K, 19°, inkl. Netzteil, anthrazit"</f>
        <v>TALON Wand, 10,7W, 1 Lichtaustritt, 3000K, 19°, inkl. Netzteil, anthrazit</v>
      </c>
      <c r="C2344" s="16">
        <v>267.5</v>
      </c>
      <c r="D2344" s="11">
        <v>267</v>
      </c>
      <c r="E2344" s="7">
        <f t="shared" si="107"/>
        <v>1</v>
      </c>
      <c r="F2344" s="22" t="str">
        <f>IF(ISERROR(VLOOKUP($A2344,#REF!,3,0)),"x",VLOOKUP($A2344,#REF!,3,FALSE))</f>
        <v>x</v>
      </c>
      <c r="G2344" s="9">
        <f t="shared" si="108"/>
        <v>1</v>
      </c>
      <c r="H2344" s="13">
        <f t="shared" si="109"/>
        <v>267.5</v>
      </c>
    </row>
    <row r="2345" spans="1:8" x14ac:dyDescent="0.25">
      <c r="A2345" s="2" t="str">
        <f>"TAL-10WW6F"</f>
        <v>TAL-10WW6F</v>
      </c>
      <c r="B2345" s="2" t="str">
        <f>"TALON Wand, 10,7W, 1 Lichtaustritt, 3000K, 65°, inkl. Netzteil, anthrazit"</f>
        <v>TALON Wand, 10,7W, 1 Lichtaustritt, 3000K, 65°, inkl. Netzteil, anthrazit</v>
      </c>
      <c r="C2345" s="16">
        <v>267.5</v>
      </c>
      <c r="D2345" s="11">
        <v>267</v>
      </c>
      <c r="E2345" s="7">
        <f t="shared" si="107"/>
        <v>1</v>
      </c>
      <c r="F2345" s="22" t="str">
        <f>IF(ISERROR(VLOOKUP($A2345,#REF!,3,0)),"x",VLOOKUP($A2345,#REF!,3,FALSE))</f>
        <v>x</v>
      </c>
      <c r="G2345" s="9">
        <f t="shared" si="108"/>
        <v>1</v>
      </c>
      <c r="H2345" s="13">
        <f t="shared" si="109"/>
        <v>267.5</v>
      </c>
    </row>
    <row r="2346" spans="1:8" x14ac:dyDescent="0.25">
      <c r="A2346" s="2" t="str">
        <f>"TAL-10WW6M"</f>
        <v>TAL-10WW6M</v>
      </c>
      <c r="B2346" s="2" t="str">
        <f>"TALON Wand, 10,7W, 1 Lichtaustritt, 3000K, 32°, inkl. Netzteil, anthrazit"</f>
        <v>TALON Wand, 10,7W, 1 Lichtaustritt, 3000K, 32°, inkl. Netzteil, anthrazit</v>
      </c>
      <c r="C2346" s="16">
        <v>267.5</v>
      </c>
      <c r="D2346" s="11">
        <v>267</v>
      </c>
      <c r="E2346" s="7">
        <f t="shared" si="107"/>
        <v>1</v>
      </c>
      <c r="F2346" s="22" t="str">
        <f>IF(ISERROR(VLOOKUP($A2346,#REF!,3,0)),"x",VLOOKUP($A2346,#REF!,3,FALSE))</f>
        <v>x</v>
      </c>
      <c r="G2346" s="9">
        <f t="shared" si="108"/>
        <v>1</v>
      </c>
      <c r="H2346" s="13">
        <f t="shared" si="109"/>
        <v>267.5</v>
      </c>
    </row>
    <row r="2347" spans="1:8" x14ac:dyDescent="0.25">
      <c r="A2347" s="2" t="str">
        <f>"TAL-10WW7"</f>
        <v>TAL-10WW7</v>
      </c>
      <c r="B2347" s="2" t="str">
        <f>"TALON Wand, 10,7W, 1 Lichtaustritt, 3000K, 19°, inkl. Netzteil, alugrau"</f>
        <v>TALON Wand, 10,7W, 1 Lichtaustritt, 3000K, 19°, inkl. Netzteil, alugrau</v>
      </c>
      <c r="C2347" s="16">
        <v>267.5</v>
      </c>
      <c r="D2347" s="11">
        <v>267</v>
      </c>
      <c r="E2347" s="7">
        <f t="shared" si="107"/>
        <v>1</v>
      </c>
      <c r="F2347" s="22" t="str">
        <f>IF(ISERROR(VLOOKUP($A2347,#REF!,3,0)),"x",VLOOKUP($A2347,#REF!,3,FALSE))</f>
        <v>x</v>
      </c>
      <c r="G2347" s="9">
        <f t="shared" si="108"/>
        <v>1</v>
      </c>
      <c r="H2347" s="13">
        <f t="shared" si="109"/>
        <v>267.5</v>
      </c>
    </row>
    <row r="2348" spans="1:8" x14ac:dyDescent="0.25">
      <c r="A2348" s="2" t="str">
        <f>"TAL-10WW7F"</f>
        <v>TAL-10WW7F</v>
      </c>
      <c r="B2348" s="2" t="str">
        <f>"TALON Wand, 10,7W, 1 Lichtaustritt, 3000K, 65°, inkl. Netzteil, alugrau"</f>
        <v>TALON Wand, 10,7W, 1 Lichtaustritt, 3000K, 65°, inkl. Netzteil, alugrau</v>
      </c>
      <c r="C2348" s="16">
        <v>267.5</v>
      </c>
      <c r="D2348" s="11">
        <v>267</v>
      </c>
      <c r="E2348" s="7">
        <f t="shared" si="107"/>
        <v>1</v>
      </c>
      <c r="F2348" s="22" t="str">
        <f>IF(ISERROR(VLOOKUP($A2348,#REF!,3,0)),"x",VLOOKUP($A2348,#REF!,3,FALSE))</f>
        <v>x</v>
      </c>
      <c r="G2348" s="9">
        <f t="shared" si="108"/>
        <v>1</v>
      </c>
      <c r="H2348" s="13">
        <f t="shared" si="109"/>
        <v>267.5</v>
      </c>
    </row>
    <row r="2349" spans="1:8" x14ac:dyDescent="0.25">
      <c r="A2349" s="2" t="str">
        <f>"TAL-10WW7M"</f>
        <v>TAL-10WW7M</v>
      </c>
      <c r="B2349" s="2" t="str">
        <f>"TALON Wand, 10,7W, 1 Lichtaustritt, 3000K, 32°, inkl. Netzteil, alugrau"</f>
        <v>TALON Wand, 10,7W, 1 Lichtaustritt, 3000K, 32°, inkl. Netzteil, alugrau</v>
      </c>
      <c r="C2349" s="16">
        <v>267.5</v>
      </c>
      <c r="D2349" s="11">
        <v>267</v>
      </c>
      <c r="E2349" s="7">
        <f t="shared" si="107"/>
        <v>1</v>
      </c>
      <c r="F2349" s="22" t="str">
        <f>IF(ISERROR(VLOOKUP($A2349,#REF!,3,0)),"x",VLOOKUP($A2349,#REF!,3,FALSE))</f>
        <v>x</v>
      </c>
      <c r="G2349" s="9">
        <f t="shared" si="108"/>
        <v>1</v>
      </c>
      <c r="H2349" s="13">
        <f t="shared" si="109"/>
        <v>267.5</v>
      </c>
    </row>
    <row r="2350" spans="1:8" x14ac:dyDescent="0.25">
      <c r="A2350" s="2" t="str">
        <f>"TAL-19NW08"</f>
        <v>TAL-19NW08</v>
      </c>
      <c r="B2350" s="2" t="str">
        <f>"TALON Wand, 19,3W, 2 Lichtaustritte, 4000K, 19°, inkl. Netzteil, sand"</f>
        <v>TALON Wand, 19,3W, 2 Lichtaustritte, 4000K, 19°, inkl. Netzteil, sand</v>
      </c>
      <c r="C2350" s="16">
        <v>332.5</v>
      </c>
      <c r="D2350" s="11">
        <v>267</v>
      </c>
      <c r="E2350" s="7">
        <f t="shared" si="107"/>
        <v>1</v>
      </c>
      <c r="F2350" s="22" t="str">
        <f>IF(ISERROR(VLOOKUP($A2350,#REF!,3,0)),"x",VLOOKUP($A2350,#REF!,3,FALSE))</f>
        <v>x</v>
      </c>
      <c r="G2350" s="9">
        <f t="shared" si="108"/>
        <v>1</v>
      </c>
      <c r="H2350" s="13">
        <f t="shared" si="109"/>
        <v>332.5</v>
      </c>
    </row>
    <row r="2351" spans="1:8" x14ac:dyDescent="0.25">
      <c r="A2351" s="2" t="str">
        <f>"TAL-19NW08F"</f>
        <v>TAL-19NW08F</v>
      </c>
      <c r="B2351" s="2" t="str">
        <f>"TALON Wand, 19,3W, 2 Lichtaustritte, 4000K, 65°, inkl. Netzteil, sand"</f>
        <v>TALON Wand, 19,3W, 2 Lichtaustritte, 4000K, 65°, inkl. Netzteil, sand</v>
      </c>
      <c r="C2351" s="16">
        <v>332.5</v>
      </c>
      <c r="D2351" s="11">
        <v>267</v>
      </c>
      <c r="E2351" s="7">
        <f t="shared" si="107"/>
        <v>1</v>
      </c>
      <c r="F2351" s="22" t="str">
        <f>IF(ISERROR(VLOOKUP($A2351,#REF!,3,0)),"x",VLOOKUP($A2351,#REF!,3,FALSE))</f>
        <v>x</v>
      </c>
      <c r="G2351" s="9">
        <f t="shared" si="108"/>
        <v>1</v>
      </c>
      <c r="H2351" s="13">
        <f t="shared" si="109"/>
        <v>332.5</v>
      </c>
    </row>
    <row r="2352" spans="1:8" x14ac:dyDescent="0.25">
      <c r="A2352" s="2" t="str">
        <f>"TAL-19NW08M"</f>
        <v>TAL-19NW08M</v>
      </c>
      <c r="B2352" s="2" t="str">
        <f>"TALON Wand, 19,3W, 2 Lichtaustritte, 4000K, 32°, inkl. Netzteil, sand"</f>
        <v>TALON Wand, 19,3W, 2 Lichtaustritte, 4000K, 32°, inkl. Netzteil, sand</v>
      </c>
      <c r="C2352" s="16">
        <v>332.5</v>
      </c>
      <c r="D2352" s="11">
        <v>267</v>
      </c>
      <c r="E2352" s="7">
        <f t="shared" si="107"/>
        <v>1</v>
      </c>
      <c r="F2352" s="22" t="str">
        <f>IF(ISERROR(VLOOKUP($A2352,#REF!,3,0)),"x",VLOOKUP($A2352,#REF!,3,FALSE))</f>
        <v>x</v>
      </c>
      <c r="G2352" s="9">
        <f t="shared" si="108"/>
        <v>1</v>
      </c>
      <c r="H2352" s="13">
        <f t="shared" si="109"/>
        <v>332.5</v>
      </c>
    </row>
    <row r="2353" spans="1:8" x14ac:dyDescent="0.25">
      <c r="A2353" s="2" t="str">
        <f>"TAL-19NW1"</f>
        <v>TAL-19NW1</v>
      </c>
      <c r="B2353" s="2" t="str">
        <f>"TALON Wand, 19,3W, 2 Lichtaustritte, 4000K, 19°, inkl. Netzteil, weiß"</f>
        <v>TALON Wand, 19,3W, 2 Lichtaustritte, 4000K, 19°, inkl. Netzteil, weiß</v>
      </c>
      <c r="C2353" s="16">
        <v>332.5</v>
      </c>
      <c r="D2353" s="11">
        <v>267</v>
      </c>
      <c r="E2353" s="7">
        <f t="shared" si="107"/>
        <v>1</v>
      </c>
      <c r="F2353" s="22" t="str">
        <f>IF(ISERROR(VLOOKUP($A2353,#REF!,3,0)),"x",VLOOKUP($A2353,#REF!,3,FALSE))</f>
        <v>x</v>
      </c>
      <c r="G2353" s="9">
        <f t="shared" si="108"/>
        <v>1</v>
      </c>
      <c r="H2353" s="13">
        <f t="shared" si="109"/>
        <v>332.5</v>
      </c>
    </row>
    <row r="2354" spans="1:8" x14ac:dyDescent="0.25">
      <c r="A2354" s="2" t="str">
        <f>"TAL-19NW1F"</f>
        <v>TAL-19NW1F</v>
      </c>
      <c r="B2354" s="2" t="str">
        <f>"TALON Wand, 19,3W, 2 Lichtaustritte, 4000K, 65°, inkl. Netzteil, weiß"</f>
        <v>TALON Wand, 19,3W, 2 Lichtaustritte, 4000K, 65°, inkl. Netzteil, weiß</v>
      </c>
      <c r="C2354" s="16">
        <v>332.5</v>
      </c>
      <c r="D2354" s="11">
        <v>267</v>
      </c>
      <c r="E2354" s="7">
        <f t="shared" si="107"/>
        <v>1</v>
      </c>
      <c r="F2354" s="22" t="str">
        <f>IF(ISERROR(VLOOKUP($A2354,#REF!,3,0)),"x",VLOOKUP($A2354,#REF!,3,FALSE))</f>
        <v>x</v>
      </c>
      <c r="G2354" s="9">
        <f t="shared" si="108"/>
        <v>1</v>
      </c>
      <c r="H2354" s="13">
        <f t="shared" si="109"/>
        <v>332.5</v>
      </c>
    </row>
    <row r="2355" spans="1:8" x14ac:dyDescent="0.25">
      <c r="A2355" s="2" t="str">
        <f>"TAL-19NW1M"</f>
        <v>TAL-19NW1M</v>
      </c>
      <c r="B2355" s="2" t="str">
        <f>"TALON Wand, 19,3W, 2 Lichtaustritte, 4000K, 32°, inkl. Netzteil, weiß"</f>
        <v>TALON Wand, 19,3W, 2 Lichtaustritte, 4000K, 32°, inkl. Netzteil, weiß</v>
      </c>
      <c r="C2355" s="16">
        <v>332.5</v>
      </c>
      <c r="D2355" s="11">
        <v>267</v>
      </c>
      <c r="E2355" s="7">
        <f t="shared" si="107"/>
        <v>1</v>
      </c>
      <c r="F2355" s="22" t="str">
        <f>IF(ISERROR(VLOOKUP($A2355,#REF!,3,0)),"x",VLOOKUP($A2355,#REF!,3,FALSE))</f>
        <v>x</v>
      </c>
      <c r="G2355" s="9">
        <f t="shared" si="108"/>
        <v>1</v>
      </c>
      <c r="H2355" s="13">
        <f t="shared" si="109"/>
        <v>332.5</v>
      </c>
    </row>
    <row r="2356" spans="1:8" x14ac:dyDescent="0.25">
      <c r="A2356" s="2" t="str">
        <f>"TAL-19NW6"</f>
        <v>TAL-19NW6</v>
      </c>
      <c r="B2356" s="2" t="str">
        <f>"TALON Wand, 19,3W, 2 Lichtaustritte, 4000K, 19°, inkl. Netzteil, anthrazit"</f>
        <v>TALON Wand, 19,3W, 2 Lichtaustritte, 4000K, 19°, inkl. Netzteil, anthrazit</v>
      </c>
      <c r="C2356" s="16">
        <v>332.5</v>
      </c>
      <c r="D2356" s="11">
        <v>267</v>
      </c>
      <c r="E2356" s="7">
        <f t="shared" si="107"/>
        <v>1</v>
      </c>
      <c r="F2356" s="22" t="str">
        <f>IF(ISERROR(VLOOKUP($A2356,#REF!,3,0)),"x",VLOOKUP($A2356,#REF!,3,FALSE))</f>
        <v>x</v>
      </c>
      <c r="G2356" s="9">
        <f t="shared" si="108"/>
        <v>1</v>
      </c>
      <c r="H2356" s="13">
        <f t="shared" si="109"/>
        <v>332.5</v>
      </c>
    </row>
    <row r="2357" spans="1:8" x14ac:dyDescent="0.25">
      <c r="A2357" s="2" t="str">
        <f>"TAL-19NW6F"</f>
        <v>TAL-19NW6F</v>
      </c>
      <c r="B2357" s="2" t="str">
        <f>"TALON Wand, 19,3W, 2 Lichtaustritte, 4000K, 65°, inkl. Netzteil, anthrazit"</f>
        <v>TALON Wand, 19,3W, 2 Lichtaustritte, 4000K, 65°, inkl. Netzteil, anthrazit</v>
      </c>
      <c r="C2357" s="16">
        <v>332.5</v>
      </c>
      <c r="D2357" s="11">
        <v>267</v>
      </c>
      <c r="E2357" s="7">
        <f t="shared" si="107"/>
        <v>1</v>
      </c>
      <c r="F2357" s="22" t="str">
        <f>IF(ISERROR(VLOOKUP($A2357,#REF!,3,0)),"x",VLOOKUP($A2357,#REF!,3,FALSE))</f>
        <v>x</v>
      </c>
      <c r="G2357" s="9">
        <f t="shared" si="108"/>
        <v>1</v>
      </c>
      <c r="H2357" s="13">
        <f t="shared" si="109"/>
        <v>332.5</v>
      </c>
    </row>
    <row r="2358" spans="1:8" x14ac:dyDescent="0.25">
      <c r="A2358" s="2" t="str">
        <f>"TAL-19NW6M"</f>
        <v>TAL-19NW6M</v>
      </c>
      <c r="B2358" s="2" t="str">
        <f>"TALON Wand, 19,3W, 2 Lichtaustritte, 4000K, 32°, inkl. Netzteil, anthrazit"</f>
        <v>TALON Wand, 19,3W, 2 Lichtaustritte, 4000K, 32°, inkl. Netzteil, anthrazit</v>
      </c>
      <c r="C2358" s="16">
        <v>332.5</v>
      </c>
      <c r="D2358" s="11">
        <v>267</v>
      </c>
      <c r="E2358" s="7">
        <f t="shared" si="107"/>
        <v>1</v>
      </c>
      <c r="F2358" s="22" t="str">
        <f>IF(ISERROR(VLOOKUP($A2358,#REF!,3,0)),"x",VLOOKUP($A2358,#REF!,3,FALSE))</f>
        <v>x</v>
      </c>
      <c r="G2358" s="9">
        <f t="shared" si="108"/>
        <v>1</v>
      </c>
      <c r="H2358" s="13">
        <f t="shared" si="109"/>
        <v>332.5</v>
      </c>
    </row>
    <row r="2359" spans="1:8" x14ac:dyDescent="0.25">
      <c r="A2359" s="2" t="str">
        <f>"TAL-19NW7"</f>
        <v>TAL-19NW7</v>
      </c>
      <c r="B2359" s="2" t="str">
        <f>"TALON Wand, 19,3W, 2 Lichtaustritte, 4000K, 19°, inkl. Netzteil, alugrau"</f>
        <v>TALON Wand, 19,3W, 2 Lichtaustritte, 4000K, 19°, inkl. Netzteil, alugrau</v>
      </c>
      <c r="C2359" s="16">
        <v>332.5</v>
      </c>
      <c r="D2359" s="11">
        <v>267</v>
      </c>
      <c r="E2359" s="7">
        <f t="shared" si="107"/>
        <v>1</v>
      </c>
      <c r="F2359" s="22" t="str">
        <f>IF(ISERROR(VLOOKUP($A2359,#REF!,3,0)),"x",VLOOKUP($A2359,#REF!,3,FALSE))</f>
        <v>x</v>
      </c>
      <c r="G2359" s="9">
        <f t="shared" si="108"/>
        <v>1</v>
      </c>
      <c r="H2359" s="13">
        <f t="shared" si="109"/>
        <v>332.5</v>
      </c>
    </row>
    <row r="2360" spans="1:8" x14ac:dyDescent="0.25">
      <c r="A2360" s="2" t="str">
        <f>"TAL-19NW7F"</f>
        <v>TAL-19NW7F</v>
      </c>
      <c r="B2360" s="2" t="str">
        <f>"TALON Wand, 19,3W, 2 Lichtaustritte, 4000K, 65°, inkl. Netzteil, alugrau"</f>
        <v>TALON Wand, 19,3W, 2 Lichtaustritte, 4000K, 65°, inkl. Netzteil, alugrau</v>
      </c>
      <c r="C2360" s="16">
        <v>332.5</v>
      </c>
      <c r="D2360" s="11">
        <v>267</v>
      </c>
      <c r="E2360" s="7">
        <f t="shared" si="107"/>
        <v>1</v>
      </c>
      <c r="F2360" s="22" t="str">
        <f>IF(ISERROR(VLOOKUP($A2360,#REF!,3,0)),"x",VLOOKUP($A2360,#REF!,3,FALSE))</f>
        <v>x</v>
      </c>
      <c r="G2360" s="9">
        <f t="shared" si="108"/>
        <v>1</v>
      </c>
      <c r="H2360" s="13">
        <f t="shared" si="109"/>
        <v>332.5</v>
      </c>
    </row>
    <row r="2361" spans="1:8" x14ac:dyDescent="0.25">
      <c r="A2361" s="2" t="str">
        <f>"TAL-19NW7M"</f>
        <v>TAL-19NW7M</v>
      </c>
      <c r="B2361" s="2" t="str">
        <f>"TALON Wand, 19,3W, 2 Lichtaustritte, 4000K, 32°, inkl. Netzteil, alugrau"</f>
        <v>TALON Wand, 19,3W, 2 Lichtaustritte, 4000K, 32°, inkl. Netzteil, alugrau</v>
      </c>
      <c r="C2361" s="16">
        <v>332.5</v>
      </c>
      <c r="D2361" s="11">
        <v>267</v>
      </c>
      <c r="E2361" s="7">
        <f t="shared" si="107"/>
        <v>1</v>
      </c>
      <c r="F2361" s="22" t="str">
        <f>IF(ISERROR(VLOOKUP($A2361,#REF!,3,0)),"x",VLOOKUP($A2361,#REF!,3,FALSE))</f>
        <v>x</v>
      </c>
      <c r="G2361" s="9">
        <f t="shared" si="108"/>
        <v>1</v>
      </c>
      <c r="H2361" s="13">
        <f t="shared" si="109"/>
        <v>332.5</v>
      </c>
    </row>
    <row r="2362" spans="1:8" x14ac:dyDescent="0.25">
      <c r="A2362" s="2" t="str">
        <f>"TAL-19WW08"</f>
        <v>TAL-19WW08</v>
      </c>
      <c r="B2362" s="2" t="str">
        <f>"TALON Wand, 19,3W, 2 Lichtaustritte, 3000K, 19°, inkl. Netzteil, sand"</f>
        <v>TALON Wand, 19,3W, 2 Lichtaustritte, 3000K, 19°, inkl. Netzteil, sand</v>
      </c>
      <c r="C2362" s="16">
        <v>332.5</v>
      </c>
      <c r="D2362" s="11">
        <v>267</v>
      </c>
      <c r="E2362" s="7">
        <f t="shared" si="107"/>
        <v>1</v>
      </c>
      <c r="F2362" s="22" t="str">
        <f>IF(ISERROR(VLOOKUP($A2362,#REF!,3,0)),"x",VLOOKUP($A2362,#REF!,3,FALSE))</f>
        <v>x</v>
      </c>
      <c r="G2362" s="9">
        <f t="shared" si="108"/>
        <v>1</v>
      </c>
      <c r="H2362" s="13">
        <f t="shared" si="109"/>
        <v>332.5</v>
      </c>
    </row>
    <row r="2363" spans="1:8" x14ac:dyDescent="0.25">
      <c r="A2363" s="2" t="str">
        <f>"TAL-19WW08F"</f>
        <v>TAL-19WW08F</v>
      </c>
      <c r="B2363" s="2" t="str">
        <f>"TALON Wand, 19,3W, 2 Lichtaustritte, 3000K, 65°, inkl. Netzteil, sand"</f>
        <v>TALON Wand, 19,3W, 2 Lichtaustritte, 3000K, 65°, inkl. Netzteil, sand</v>
      </c>
      <c r="C2363" s="16">
        <v>332.5</v>
      </c>
      <c r="D2363" s="11">
        <v>267</v>
      </c>
      <c r="E2363" s="7">
        <f t="shared" si="107"/>
        <v>1</v>
      </c>
      <c r="F2363" s="22" t="str">
        <f>IF(ISERROR(VLOOKUP($A2363,#REF!,3,0)),"x",VLOOKUP($A2363,#REF!,3,FALSE))</f>
        <v>x</v>
      </c>
      <c r="G2363" s="9">
        <f t="shared" si="108"/>
        <v>1</v>
      </c>
      <c r="H2363" s="13">
        <f t="shared" si="109"/>
        <v>332.5</v>
      </c>
    </row>
    <row r="2364" spans="1:8" x14ac:dyDescent="0.25">
      <c r="A2364" s="2" t="str">
        <f>"TAL-19WW08M"</f>
        <v>TAL-19WW08M</v>
      </c>
      <c r="B2364" s="2" t="str">
        <f>"TALON Wand, 19,3W, 2 Lichtaustritte, 3000K, 32°, inkl. Netzteil, sand"</f>
        <v>TALON Wand, 19,3W, 2 Lichtaustritte, 3000K, 32°, inkl. Netzteil, sand</v>
      </c>
      <c r="C2364" s="16">
        <v>332.5</v>
      </c>
      <c r="D2364" s="11">
        <v>267</v>
      </c>
      <c r="E2364" s="7">
        <f t="shared" si="107"/>
        <v>1</v>
      </c>
      <c r="F2364" s="22" t="str">
        <f>IF(ISERROR(VLOOKUP($A2364,#REF!,3,0)),"x",VLOOKUP($A2364,#REF!,3,FALSE))</f>
        <v>x</v>
      </c>
      <c r="G2364" s="9">
        <f t="shared" si="108"/>
        <v>1</v>
      </c>
      <c r="H2364" s="13">
        <f t="shared" si="109"/>
        <v>332.5</v>
      </c>
    </row>
    <row r="2365" spans="1:8" x14ac:dyDescent="0.25">
      <c r="A2365" s="2" t="str">
        <f>"TAL-19WW1"</f>
        <v>TAL-19WW1</v>
      </c>
      <c r="B2365" s="2" t="str">
        <f>"TALON Wand, 19,3W, 2 Lichtaustritte, 3000K, 19°, inkl. Netzteil, weiß"</f>
        <v>TALON Wand, 19,3W, 2 Lichtaustritte, 3000K, 19°, inkl. Netzteil, weiß</v>
      </c>
      <c r="C2365" s="16">
        <v>332.5</v>
      </c>
      <c r="D2365" s="11">
        <v>267</v>
      </c>
      <c r="E2365" s="7">
        <f t="shared" si="107"/>
        <v>1</v>
      </c>
      <c r="F2365" s="22" t="str">
        <f>IF(ISERROR(VLOOKUP($A2365,#REF!,3,0)),"x",VLOOKUP($A2365,#REF!,3,FALSE))</f>
        <v>x</v>
      </c>
      <c r="G2365" s="9">
        <f t="shared" si="108"/>
        <v>1</v>
      </c>
      <c r="H2365" s="13">
        <f t="shared" si="109"/>
        <v>332.5</v>
      </c>
    </row>
    <row r="2366" spans="1:8" x14ac:dyDescent="0.25">
      <c r="A2366" s="2" t="str">
        <f>"TAL-19WW1F"</f>
        <v>TAL-19WW1F</v>
      </c>
      <c r="B2366" s="2" t="str">
        <f>"TALON Wand, 19,3W, 2 Lichtaustritte, 3000K, 65°, inkl. Netzteil, weiß"</f>
        <v>TALON Wand, 19,3W, 2 Lichtaustritte, 3000K, 65°, inkl. Netzteil, weiß</v>
      </c>
      <c r="C2366" s="16">
        <v>332.5</v>
      </c>
      <c r="D2366" s="11">
        <v>267</v>
      </c>
      <c r="E2366" s="7">
        <f t="shared" si="107"/>
        <v>1</v>
      </c>
      <c r="F2366" s="22" t="str">
        <f>IF(ISERROR(VLOOKUP($A2366,#REF!,3,0)),"x",VLOOKUP($A2366,#REF!,3,FALSE))</f>
        <v>x</v>
      </c>
      <c r="G2366" s="9">
        <f t="shared" si="108"/>
        <v>1</v>
      </c>
      <c r="H2366" s="13">
        <f t="shared" si="109"/>
        <v>332.5</v>
      </c>
    </row>
    <row r="2367" spans="1:8" x14ac:dyDescent="0.25">
      <c r="A2367" s="2" t="str">
        <f>"TAL-19WW1M"</f>
        <v>TAL-19WW1M</v>
      </c>
      <c r="B2367" s="2" t="str">
        <f>"TALON Wand, 19,3W, 2 Lichtaustritte, 3000K, 32°, inkl. Netzteil, weiß"</f>
        <v>TALON Wand, 19,3W, 2 Lichtaustritte, 3000K, 32°, inkl. Netzteil, weiß</v>
      </c>
      <c r="C2367" s="16">
        <v>332.5</v>
      </c>
      <c r="D2367" s="11">
        <v>267</v>
      </c>
      <c r="E2367" s="7">
        <f t="shared" si="107"/>
        <v>1</v>
      </c>
      <c r="F2367" s="22" t="str">
        <f>IF(ISERROR(VLOOKUP($A2367,#REF!,3,0)),"x",VLOOKUP($A2367,#REF!,3,FALSE))</f>
        <v>x</v>
      </c>
      <c r="G2367" s="9">
        <f t="shared" si="108"/>
        <v>1</v>
      </c>
      <c r="H2367" s="13">
        <f t="shared" si="109"/>
        <v>332.5</v>
      </c>
    </row>
    <row r="2368" spans="1:8" x14ac:dyDescent="0.25">
      <c r="A2368" s="2" t="str">
        <f>"TAL-19WW6"</f>
        <v>TAL-19WW6</v>
      </c>
      <c r="B2368" s="2" t="str">
        <f>"TALON Wand, 19,3W, 2 Lichtaustritte, 3000K, 19°, inkl. Netzteil, anthrazit"</f>
        <v>TALON Wand, 19,3W, 2 Lichtaustritte, 3000K, 19°, inkl. Netzteil, anthrazit</v>
      </c>
      <c r="C2368" s="16">
        <v>332.5</v>
      </c>
      <c r="D2368" s="11">
        <v>267</v>
      </c>
      <c r="E2368" s="7">
        <f t="shared" si="107"/>
        <v>1</v>
      </c>
      <c r="F2368" s="22" t="str">
        <f>IF(ISERROR(VLOOKUP($A2368,#REF!,3,0)),"x",VLOOKUP($A2368,#REF!,3,FALSE))</f>
        <v>x</v>
      </c>
      <c r="G2368" s="9">
        <f t="shared" si="108"/>
        <v>1</v>
      </c>
      <c r="H2368" s="13">
        <f t="shared" si="109"/>
        <v>332.5</v>
      </c>
    </row>
    <row r="2369" spans="1:8" x14ac:dyDescent="0.25">
      <c r="A2369" s="2" t="str">
        <f>"TAL-19WW6F"</f>
        <v>TAL-19WW6F</v>
      </c>
      <c r="B2369" s="2" t="str">
        <f>"TALON Wand, 19,3W, 2 Lichtaustritte, 3000K, 65°, inkl. Netzteil, anthrazit"</f>
        <v>TALON Wand, 19,3W, 2 Lichtaustritte, 3000K, 65°, inkl. Netzteil, anthrazit</v>
      </c>
      <c r="C2369" s="16">
        <v>332.5</v>
      </c>
      <c r="D2369" s="11">
        <v>267</v>
      </c>
      <c r="E2369" s="7">
        <f t="shared" si="107"/>
        <v>1</v>
      </c>
      <c r="F2369" s="22" t="str">
        <f>IF(ISERROR(VLOOKUP($A2369,#REF!,3,0)),"x",VLOOKUP($A2369,#REF!,3,FALSE))</f>
        <v>x</v>
      </c>
      <c r="G2369" s="9">
        <f t="shared" si="108"/>
        <v>1</v>
      </c>
      <c r="H2369" s="13">
        <f t="shared" si="109"/>
        <v>332.5</v>
      </c>
    </row>
    <row r="2370" spans="1:8" x14ac:dyDescent="0.25">
      <c r="A2370" s="2" t="str">
        <f>"TAL-19WW6M"</f>
        <v>TAL-19WW6M</v>
      </c>
      <c r="B2370" s="2" t="str">
        <f>"TALON Wand, 19,3W, 2 Lichtaustritte, 3000K, 32°, inkl. Netzteil, anthrazit"</f>
        <v>TALON Wand, 19,3W, 2 Lichtaustritte, 3000K, 32°, inkl. Netzteil, anthrazit</v>
      </c>
      <c r="C2370" s="16">
        <v>332.5</v>
      </c>
      <c r="D2370" s="11">
        <v>267</v>
      </c>
      <c r="E2370" s="7">
        <f t="shared" ref="E2370:E2433" si="110">G2370</f>
        <v>1</v>
      </c>
      <c r="F2370" s="22" t="str">
        <f>IF(ISERROR(VLOOKUP($A2370,#REF!,3,0)),"x",VLOOKUP($A2370,#REF!,3,FALSE))</f>
        <v>x</v>
      </c>
      <c r="G2370" s="9">
        <f t="shared" si="108"/>
        <v>1</v>
      </c>
      <c r="H2370" s="13">
        <f t="shared" si="109"/>
        <v>332.5</v>
      </c>
    </row>
    <row r="2371" spans="1:8" x14ac:dyDescent="0.25">
      <c r="A2371" s="2" t="str">
        <f>"TAL-19WW7"</f>
        <v>TAL-19WW7</v>
      </c>
      <c r="B2371" s="2" t="str">
        <f>"TALON Wand, 19,3W, 2 Lichtaustritte, 3000K, 19°, inkl. Netzteil, alugrau"</f>
        <v>TALON Wand, 19,3W, 2 Lichtaustritte, 3000K, 19°, inkl. Netzteil, alugrau</v>
      </c>
      <c r="C2371" s="16">
        <v>332.5</v>
      </c>
      <c r="D2371" s="11">
        <v>267</v>
      </c>
      <c r="E2371" s="7">
        <f t="shared" si="110"/>
        <v>1</v>
      </c>
      <c r="F2371" s="22" t="str">
        <f>IF(ISERROR(VLOOKUP($A2371,#REF!,3,0)),"x",VLOOKUP($A2371,#REF!,3,FALSE))</f>
        <v>x</v>
      </c>
      <c r="G2371" s="9">
        <f t="shared" ref="G2371:G2434" si="111">IF(C2371&lt;F2371,1,IF(C2371&gt;F2371,-1,0))</f>
        <v>1</v>
      </c>
      <c r="H2371" s="13">
        <f t="shared" si="109"/>
        <v>332.5</v>
      </c>
    </row>
    <row r="2372" spans="1:8" x14ac:dyDescent="0.25">
      <c r="A2372" s="2" t="str">
        <f>"TAL-19WW7F"</f>
        <v>TAL-19WW7F</v>
      </c>
      <c r="B2372" s="2" t="str">
        <f>"TALON Wand, 19,3W, 2 Lichtaustritte, 3000K, 65°, inkl. Netzteil, alugrau"</f>
        <v>TALON Wand, 19,3W, 2 Lichtaustritte, 3000K, 65°, inkl. Netzteil, alugrau</v>
      </c>
      <c r="C2372" s="16">
        <v>332.5</v>
      </c>
      <c r="D2372" s="11">
        <v>267</v>
      </c>
      <c r="E2372" s="7">
        <f t="shared" si="110"/>
        <v>1</v>
      </c>
      <c r="F2372" s="22" t="str">
        <f>IF(ISERROR(VLOOKUP($A2372,#REF!,3,0)),"x",VLOOKUP($A2372,#REF!,3,FALSE))</f>
        <v>x</v>
      </c>
      <c r="G2372" s="9">
        <f t="shared" si="111"/>
        <v>1</v>
      </c>
      <c r="H2372" s="13">
        <f t="shared" si="109"/>
        <v>332.5</v>
      </c>
    </row>
    <row r="2373" spans="1:8" x14ac:dyDescent="0.25">
      <c r="A2373" s="2" t="str">
        <f>"TAL-19WW7M"</f>
        <v>TAL-19WW7M</v>
      </c>
      <c r="B2373" s="2" t="str">
        <f>"TALON Wand, 19,3W, 2 Lichtaustritte, 3000K, 32°, inkl. Netzteil, alugrau"</f>
        <v>TALON Wand, 19,3W, 2 Lichtaustritte, 3000K, 32°, inkl. Netzteil, alugrau</v>
      </c>
      <c r="C2373" s="16">
        <v>332.5</v>
      </c>
      <c r="D2373" s="11">
        <v>267</v>
      </c>
      <c r="E2373" s="7">
        <f t="shared" si="110"/>
        <v>1</v>
      </c>
      <c r="F2373" s="22" t="str">
        <f>IF(ISERROR(VLOOKUP($A2373,#REF!,3,0)),"x",VLOOKUP($A2373,#REF!,3,FALSE))</f>
        <v>x</v>
      </c>
      <c r="G2373" s="9">
        <f t="shared" si="111"/>
        <v>1</v>
      </c>
      <c r="H2373" s="13">
        <f t="shared" ref="H2373:H2436" si="112">IF(F2373="x",C2373,F2373)</f>
        <v>332.5</v>
      </c>
    </row>
    <row r="2374" spans="1:8" x14ac:dyDescent="0.25">
      <c r="A2374" s="2" t="str">
        <f>"TALD-10NW08"</f>
        <v>TALD-10NW08</v>
      </c>
      <c r="B2374" s="2" t="str">
        <f>"TALON Decke, 10,7W, 1 Lichtaustritt, 4000K, 19°, inkl. Netzteil, sand"</f>
        <v>TALON Decke, 10,7W, 1 Lichtaustritt, 4000K, 19°, inkl. Netzteil, sand</v>
      </c>
      <c r="C2374" s="16">
        <v>245</v>
      </c>
      <c r="D2374" s="11">
        <v>305</v>
      </c>
      <c r="E2374" s="7">
        <f t="shared" si="110"/>
        <v>1</v>
      </c>
      <c r="F2374" s="22" t="str">
        <f>IF(ISERROR(VLOOKUP($A2374,#REF!,3,0)),"x",VLOOKUP($A2374,#REF!,3,FALSE))</f>
        <v>x</v>
      </c>
      <c r="G2374" s="9">
        <f t="shared" si="111"/>
        <v>1</v>
      </c>
      <c r="H2374" s="13">
        <f t="shared" si="112"/>
        <v>245</v>
      </c>
    </row>
    <row r="2375" spans="1:8" x14ac:dyDescent="0.25">
      <c r="A2375" s="2" t="str">
        <f>"TALD-10NW08M"</f>
        <v>TALD-10NW08M</v>
      </c>
      <c r="B2375" s="2" t="str">
        <f>"TALON Decke, 10,7W, 1 Lichtaustritt, 4000K, 32°, inkl. Netzteil, sand"</f>
        <v>TALON Decke, 10,7W, 1 Lichtaustritt, 4000K, 32°, inkl. Netzteil, sand</v>
      </c>
      <c r="C2375" s="16">
        <v>245</v>
      </c>
      <c r="D2375" s="11">
        <v>305</v>
      </c>
      <c r="E2375" s="7">
        <f t="shared" si="110"/>
        <v>1</v>
      </c>
      <c r="F2375" s="22" t="str">
        <f>IF(ISERROR(VLOOKUP($A2375,#REF!,3,0)),"x",VLOOKUP($A2375,#REF!,3,FALSE))</f>
        <v>x</v>
      </c>
      <c r="G2375" s="9">
        <f t="shared" si="111"/>
        <v>1</v>
      </c>
      <c r="H2375" s="13">
        <f t="shared" si="112"/>
        <v>245</v>
      </c>
    </row>
    <row r="2376" spans="1:8" x14ac:dyDescent="0.25">
      <c r="A2376" s="2" t="str">
        <f>"TALD-10NW1"</f>
        <v>TALD-10NW1</v>
      </c>
      <c r="B2376" s="2" t="str">
        <f>"TALON Decke, 10,7W, 1 Lichtaustritt, 4000K, 19°, inkl. Netzteil, weiß"</f>
        <v>TALON Decke, 10,7W, 1 Lichtaustritt, 4000K, 19°, inkl. Netzteil, weiß</v>
      </c>
      <c r="C2376" s="16">
        <v>245</v>
      </c>
      <c r="D2376" s="11">
        <v>305</v>
      </c>
      <c r="E2376" s="7">
        <f t="shared" si="110"/>
        <v>1</v>
      </c>
      <c r="F2376" s="22" t="str">
        <f>IF(ISERROR(VLOOKUP($A2376,#REF!,3,0)),"x",VLOOKUP($A2376,#REF!,3,FALSE))</f>
        <v>x</v>
      </c>
      <c r="G2376" s="9">
        <f t="shared" si="111"/>
        <v>1</v>
      </c>
      <c r="H2376" s="13">
        <f t="shared" si="112"/>
        <v>245</v>
      </c>
    </row>
    <row r="2377" spans="1:8" x14ac:dyDescent="0.25">
      <c r="A2377" s="2" t="str">
        <f>"TALD-10NW1M"</f>
        <v>TALD-10NW1M</v>
      </c>
      <c r="B2377" s="2" t="str">
        <f>"TALON Decke, 10,7W, 1 Lichtaustritt, 4000K, 32°, inkl. Netzteil, weiß"</f>
        <v>TALON Decke, 10,7W, 1 Lichtaustritt, 4000K, 32°, inkl. Netzteil, weiß</v>
      </c>
      <c r="C2377" s="16">
        <v>245</v>
      </c>
      <c r="D2377" s="11">
        <v>305</v>
      </c>
      <c r="E2377" s="7">
        <f t="shared" si="110"/>
        <v>1</v>
      </c>
      <c r="F2377" s="22" t="str">
        <f>IF(ISERROR(VLOOKUP($A2377,#REF!,3,0)),"x",VLOOKUP($A2377,#REF!,3,FALSE))</f>
        <v>x</v>
      </c>
      <c r="G2377" s="9">
        <f t="shared" si="111"/>
        <v>1</v>
      </c>
      <c r="H2377" s="13">
        <f t="shared" si="112"/>
        <v>245</v>
      </c>
    </row>
    <row r="2378" spans="1:8" x14ac:dyDescent="0.25">
      <c r="A2378" s="2" t="str">
        <f>"TALD-10NW6"</f>
        <v>TALD-10NW6</v>
      </c>
      <c r="B2378" s="2" t="str">
        <f>"TALON Decke, 10,7W, 1 Lichtaustritt, 4000K, 19°, inkl. Netzteil, anthrazit"</f>
        <v>TALON Decke, 10,7W, 1 Lichtaustritt, 4000K, 19°, inkl. Netzteil, anthrazit</v>
      </c>
      <c r="C2378" s="16">
        <v>245</v>
      </c>
      <c r="D2378" s="11">
        <v>305</v>
      </c>
      <c r="E2378" s="7">
        <f t="shared" si="110"/>
        <v>1</v>
      </c>
      <c r="F2378" s="22" t="str">
        <f>IF(ISERROR(VLOOKUP($A2378,#REF!,3,0)),"x",VLOOKUP($A2378,#REF!,3,FALSE))</f>
        <v>x</v>
      </c>
      <c r="G2378" s="9">
        <f t="shared" si="111"/>
        <v>1</v>
      </c>
      <c r="H2378" s="13">
        <f t="shared" si="112"/>
        <v>245</v>
      </c>
    </row>
    <row r="2379" spans="1:8" x14ac:dyDescent="0.25">
      <c r="A2379" s="2" t="str">
        <f>"TALD-10NW6M"</f>
        <v>TALD-10NW6M</v>
      </c>
      <c r="B2379" s="2" t="str">
        <f>"TALON Decke, 10,7W, 1 Lichtaustritt, 4000K, 32°, inkl. Netzteil, anthrazit"</f>
        <v>TALON Decke, 10,7W, 1 Lichtaustritt, 4000K, 32°, inkl. Netzteil, anthrazit</v>
      </c>
      <c r="C2379" s="16">
        <v>245</v>
      </c>
      <c r="D2379" s="11">
        <v>305</v>
      </c>
      <c r="E2379" s="7">
        <f t="shared" si="110"/>
        <v>1</v>
      </c>
      <c r="F2379" s="22" t="str">
        <f>IF(ISERROR(VLOOKUP($A2379,#REF!,3,0)),"x",VLOOKUP($A2379,#REF!,3,FALSE))</f>
        <v>x</v>
      </c>
      <c r="G2379" s="9">
        <f t="shared" si="111"/>
        <v>1</v>
      </c>
      <c r="H2379" s="13">
        <f t="shared" si="112"/>
        <v>245</v>
      </c>
    </row>
    <row r="2380" spans="1:8" x14ac:dyDescent="0.25">
      <c r="A2380" s="2" t="str">
        <f>"TALD-10NW7"</f>
        <v>TALD-10NW7</v>
      </c>
      <c r="B2380" s="2" t="str">
        <f>"TALON Decke, 10,7W, 1 Lichtaustritt, 4000K, 19°, inkl. Netzteil, alugrau"</f>
        <v>TALON Decke, 10,7W, 1 Lichtaustritt, 4000K, 19°, inkl. Netzteil, alugrau</v>
      </c>
      <c r="C2380" s="16">
        <v>245</v>
      </c>
      <c r="D2380" s="11">
        <v>305</v>
      </c>
      <c r="E2380" s="7">
        <f t="shared" si="110"/>
        <v>1</v>
      </c>
      <c r="F2380" s="22" t="str">
        <f>IF(ISERROR(VLOOKUP($A2380,#REF!,3,0)),"x",VLOOKUP($A2380,#REF!,3,FALSE))</f>
        <v>x</v>
      </c>
      <c r="G2380" s="9">
        <f t="shared" si="111"/>
        <v>1</v>
      </c>
      <c r="H2380" s="13">
        <f t="shared" si="112"/>
        <v>245</v>
      </c>
    </row>
    <row r="2381" spans="1:8" x14ac:dyDescent="0.25">
      <c r="A2381" s="2" t="str">
        <f>"TALD-10NW7M"</f>
        <v>TALD-10NW7M</v>
      </c>
      <c r="B2381" s="2" t="str">
        <f>"TALON Decke, 10,7W, 1 Lichtaustritt, 4000K, 32°, inkl. Netzteil, alugrau"</f>
        <v>TALON Decke, 10,7W, 1 Lichtaustritt, 4000K, 32°, inkl. Netzteil, alugrau</v>
      </c>
      <c r="C2381" s="16">
        <v>245</v>
      </c>
      <c r="D2381" s="11">
        <v>305</v>
      </c>
      <c r="E2381" s="7">
        <f t="shared" si="110"/>
        <v>1</v>
      </c>
      <c r="F2381" s="22" t="str">
        <f>IF(ISERROR(VLOOKUP($A2381,#REF!,3,0)),"x",VLOOKUP($A2381,#REF!,3,FALSE))</f>
        <v>x</v>
      </c>
      <c r="G2381" s="9">
        <f t="shared" si="111"/>
        <v>1</v>
      </c>
      <c r="H2381" s="13">
        <f t="shared" si="112"/>
        <v>245</v>
      </c>
    </row>
    <row r="2382" spans="1:8" x14ac:dyDescent="0.25">
      <c r="A2382" s="2" t="str">
        <f>"TALD-10WW08"</f>
        <v>TALD-10WW08</v>
      </c>
      <c r="B2382" s="2" t="str">
        <f>"TALON Decke, 10,7W, 1 Lichtaustritt, 3000K, 19°, inkl. Netzteil, sand"</f>
        <v>TALON Decke, 10,7W, 1 Lichtaustritt, 3000K, 19°, inkl. Netzteil, sand</v>
      </c>
      <c r="C2382" s="16">
        <v>245</v>
      </c>
      <c r="D2382" s="11">
        <v>305</v>
      </c>
      <c r="E2382" s="7">
        <f t="shared" si="110"/>
        <v>1</v>
      </c>
      <c r="F2382" s="22" t="str">
        <f>IF(ISERROR(VLOOKUP($A2382,#REF!,3,0)),"x",VLOOKUP($A2382,#REF!,3,FALSE))</f>
        <v>x</v>
      </c>
      <c r="G2382" s="9">
        <f t="shared" si="111"/>
        <v>1</v>
      </c>
      <c r="H2382" s="13">
        <f t="shared" si="112"/>
        <v>245</v>
      </c>
    </row>
    <row r="2383" spans="1:8" x14ac:dyDescent="0.25">
      <c r="A2383" s="2" t="str">
        <f>"TALD-10WW08M"</f>
        <v>TALD-10WW08M</v>
      </c>
      <c r="B2383" s="2" t="str">
        <f>"TALON Decke, 10,7W, 1 Lichtaustritt, 3000K, 32°, inkl. Netzteil, sand"</f>
        <v>TALON Decke, 10,7W, 1 Lichtaustritt, 3000K, 32°, inkl. Netzteil, sand</v>
      </c>
      <c r="C2383" s="16">
        <v>245</v>
      </c>
      <c r="D2383" s="11">
        <v>305</v>
      </c>
      <c r="E2383" s="7">
        <f t="shared" si="110"/>
        <v>1</v>
      </c>
      <c r="F2383" s="22" t="str">
        <f>IF(ISERROR(VLOOKUP($A2383,#REF!,3,0)),"x",VLOOKUP($A2383,#REF!,3,FALSE))</f>
        <v>x</v>
      </c>
      <c r="G2383" s="9">
        <f t="shared" si="111"/>
        <v>1</v>
      </c>
      <c r="H2383" s="13">
        <f t="shared" si="112"/>
        <v>245</v>
      </c>
    </row>
    <row r="2384" spans="1:8" x14ac:dyDescent="0.25">
      <c r="A2384" s="2" t="str">
        <f>"TALD-10WW1"</f>
        <v>TALD-10WW1</v>
      </c>
      <c r="B2384" s="2" t="str">
        <f>"TALON Decke, 10,7W, 1 Lichtaustritt, 3000K, 19°, inkl. Netzteil, weiß"</f>
        <v>TALON Decke, 10,7W, 1 Lichtaustritt, 3000K, 19°, inkl. Netzteil, weiß</v>
      </c>
      <c r="C2384" s="16">
        <v>245</v>
      </c>
      <c r="D2384" s="11">
        <v>305</v>
      </c>
      <c r="E2384" s="7">
        <f t="shared" si="110"/>
        <v>1</v>
      </c>
      <c r="F2384" s="22" t="str">
        <f>IF(ISERROR(VLOOKUP($A2384,#REF!,3,0)),"x",VLOOKUP($A2384,#REF!,3,FALSE))</f>
        <v>x</v>
      </c>
      <c r="G2384" s="9">
        <f t="shared" si="111"/>
        <v>1</v>
      </c>
      <c r="H2384" s="13">
        <f t="shared" si="112"/>
        <v>245</v>
      </c>
    </row>
    <row r="2385" spans="1:8" x14ac:dyDescent="0.25">
      <c r="A2385" s="2" t="str">
        <f>"TALD-10WW1M"</f>
        <v>TALD-10WW1M</v>
      </c>
      <c r="B2385" s="2" t="str">
        <f>"TALON Decke, 10,7W, 1 Lichtaustritt, 3000K, 32°, inkl. Netzteil, weiß "</f>
        <v xml:space="preserve">TALON Decke, 10,7W, 1 Lichtaustritt, 3000K, 32°, inkl. Netzteil, weiß </v>
      </c>
      <c r="C2385" s="16">
        <v>245</v>
      </c>
      <c r="D2385" s="11">
        <v>305</v>
      </c>
      <c r="E2385" s="7">
        <f t="shared" si="110"/>
        <v>1</v>
      </c>
      <c r="F2385" s="22" t="str">
        <f>IF(ISERROR(VLOOKUP($A2385,#REF!,3,0)),"x",VLOOKUP($A2385,#REF!,3,FALSE))</f>
        <v>x</v>
      </c>
      <c r="G2385" s="9">
        <f t="shared" si="111"/>
        <v>1</v>
      </c>
      <c r="H2385" s="13">
        <f t="shared" si="112"/>
        <v>245</v>
      </c>
    </row>
    <row r="2386" spans="1:8" x14ac:dyDescent="0.25">
      <c r="A2386" s="2" t="str">
        <f>"TALD-10WW6"</f>
        <v>TALD-10WW6</v>
      </c>
      <c r="B2386" s="2" t="str">
        <f>"TALON Decke, 10,7W, 1 Lichtaustritt, 3000K, 19°, inkl. Netzteil, anthrazit"</f>
        <v>TALON Decke, 10,7W, 1 Lichtaustritt, 3000K, 19°, inkl. Netzteil, anthrazit</v>
      </c>
      <c r="C2386" s="16">
        <v>245</v>
      </c>
      <c r="D2386" s="11">
        <v>305</v>
      </c>
      <c r="E2386" s="7">
        <f t="shared" si="110"/>
        <v>1</v>
      </c>
      <c r="F2386" s="22" t="str">
        <f>IF(ISERROR(VLOOKUP($A2386,#REF!,3,0)),"x",VLOOKUP($A2386,#REF!,3,FALSE))</f>
        <v>x</v>
      </c>
      <c r="G2386" s="9">
        <f t="shared" si="111"/>
        <v>1</v>
      </c>
      <c r="H2386" s="13">
        <f t="shared" si="112"/>
        <v>245</v>
      </c>
    </row>
    <row r="2387" spans="1:8" x14ac:dyDescent="0.25">
      <c r="A2387" s="2" t="str">
        <f>"TALD-10WW6M"</f>
        <v>TALD-10WW6M</v>
      </c>
      <c r="B2387" s="2" t="str">
        <f>"TALON Decke, 10,7W, 1 Lichtaustritt, 3000K, 32°, inkl. Netzteil, anthrazit"</f>
        <v>TALON Decke, 10,7W, 1 Lichtaustritt, 3000K, 32°, inkl. Netzteil, anthrazit</v>
      </c>
      <c r="C2387" s="16">
        <v>245</v>
      </c>
      <c r="D2387" s="11">
        <v>305</v>
      </c>
      <c r="E2387" s="7">
        <f t="shared" si="110"/>
        <v>1</v>
      </c>
      <c r="F2387" s="22" t="str">
        <f>IF(ISERROR(VLOOKUP($A2387,#REF!,3,0)),"x",VLOOKUP($A2387,#REF!,3,FALSE))</f>
        <v>x</v>
      </c>
      <c r="G2387" s="9">
        <f t="shared" si="111"/>
        <v>1</v>
      </c>
      <c r="H2387" s="13">
        <f t="shared" si="112"/>
        <v>245</v>
      </c>
    </row>
    <row r="2388" spans="1:8" x14ac:dyDescent="0.25">
      <c r="A2388" s="2" t="str">
        <f>"TALD-10WW7"</f>
        <v>TALD-10WW7</v>
      </c>
      <c r="B2388" s="2" t="str">
        <f>"TALON Decke, 10,7W, 1 Lichtaustritt, 3000K, 19°, inkl. Netzteil, alugrau"</f>
        <v>TALON Decke, 10,7W, 1 Lichtaustritt, 3000K, 19°, inkl. Netzteil, alugrau</v>
      </c>
      <c r="C2388" s="16">
        <v>245</v>
      </c>
      <c r="D2388" s="11">
        <v>305</v>
      </c>
      <c r="E2388" s="7">
        <f t="shared" si="110"/>
        <v>1</v>
      </c>
      <c r="F2388" s="22" t="str">
        <f>IF(ISERROR(VLOOKUP($A2388,#REF!,3,0)),"x",VLOOKUP($A2388,#REF!,3,FALSE))</f>
        <v>x</v>
      </c>
      <c r="G2388" s="9">
        <f t="shared" si="111"/>
        <v>1</v>
      </c>
      <c r="H2388" s="13">
        <f t="shared" si="112"/>
        <v>245</v>
      </c>
    </row>
    <row r="2389" spans="1:8" x14ac:dyDescent="0.25">
      <c r="A2389" s="2" t="str">
        <f>"TALD-10WW7M"</f>
        <v>TALD-10WW7M</v>
      </c>
      <c r="B2389" s="2" t="str">
        <f>"TALON Decke, 10,7W, 1 Lichtaustritt, 3000K, 32°, inkl. Netzteil, alugrau"</f>
        <v>TALON Decke, 10,7W, 1 Lichtaustritt, 3000K, 32°, inkl. Netzteil, alugrau</v>
      </c>
      <c r="C2389" s="16">
        <v>245</v>
      </c>
      <c r="D2389" s="11">
        <v>305</v>
      </c>
      <c r="E2389" s="7">
        <f t="shared" si="110"/>
        <v>1</v>
      </c>
      <c r="F2389" s="22" t="str">
        <f>IF(ISERROR(VLOOKUP($A2389,#REF!,3,0)),"x",VLOOKUP($A2389,#REF!,3,FALSE))</f>
        <v>x</v>
      </c>
      <c r="G2389" s="9">
        <f t="shared" si="111"/>
        <v>1</v>
      </c>
      <c r="H2389" s="13">
        <f t="shared" si="112"/>
        <v>245</v>
      </c>
    </row>
    <row r="2390" spans="1:8" x14ac:dyDescent="0.25">
      <c r="A2390" s="2" t="str">
        <f>"TFP-60NW11"</f>
        <v>TFP-60NW11</v>
      </c>
      <c r="B2390" s="2" t="str">
        <f>"Flat Panel 3-Ph.-Adapter, 60W, 4000K, 60°, L:582mm, weiß"</f>
        <v>Flat Panel 3-Ph.-Adapter, 60W, 4000K, 60°, L:582mm, weiß</v>
      </c>
      <c r="C2390" s="16">
        <v>230</v>
      </c>
      <c r="D2390" s="11">
        <v>47</v>
      </c>
      <c r="E2390" s="7">
        <f t="shared" si="110"/>
        <v>1</v>
      </c>
      <c r="F2390" s="22" t="str">
        <f>IF(ISERROR(VLOOKUP($A2390,#REF!,3,0)),"x",VLOOKUP($A2390,#REF!,3,FALSE))</f>
        <v>x</v>
      </c>
      <c r="G2390" s="9">
        <f t="shared" si="111"/>
        <v>1</v>
      </c>
      <c r="H2390" s="13">
        <f t="shared" si="112"/>
        <v>230</v>
      </c>
    </row>
    <row r="2391" spans="1:8" x14ac:dyDescent="0.25">
      <c r="A2391" s="2" t="str">
        <f>"TFP-60NW11DA"</f>
        <v>TFP-60NW11DA</v>
      </c>
      <c r="B2391" s="2" t="str">
        <f>"Flat Panel 3-Ph.-Adapter, 60W, 4000K, doppelt-asym. 20°, L:582mm, weiß"</f>
        <v>Flat Panel 3-Ph.-Adapter, 60W, 4000K, doppelt-asym. 20°, L:582mm, weiß</v>
      </c>
      <c r="C2391" s="16">
        <v>230</v>
      </c>
      <c r="D2391" s="11">
        <v>47</v>
      </c>
      <c r="E2391" s="7">
        <f t="shared" si="110"/>
        <v>1</v>
      </c>
      <c r="F2391" s="22" t="str">
        <f>IF(ISERROR(VLOOKUP($A2391,#REF!,3,0)),"x",VLOOKUP($A2391,#REF!,3,FALSE))</f>
        <v>x</v>
      </c>
      <c r="G2391" s="9">
        <f t="shared" si="111"/>
        <v>1</v>
      </c>
      <c r="H2391" s="13">
        <f t="shared" si="112"/>
        <v>230</v>
      </c>
    </row>
    <row r="2392" spans="1:8" x14ac:dyDescent="0.25">
      <c r="A2392" s="2" t="str">
        <f>"TFP-60NW11F"</f>
        <v>TFP-60NW11F</v>
      </c>
      <c r="B2392" s="2" t="str">
        <f>"Flat Panel 3-Ph.-Adapter, 60W, 4000K, 90°, L:582mm, weiß"</f>
        <v>Flat Panel 3-Ph.-Adapter, 60W, 4000K, 90°, L:582mm, weiß</v>
      </c>
      <c r="C2392" s="16">
        <v>230</v>
      </c>
      <c r="D2392" s="11">
        <v>47</v>
      </c>
      <c r="E2392" s="7">
        <f t="shared" si="110"/>
        <v>1</v>
      </c>
      <c r="F2392" s="22" t="str">
        <f>IF(ISERROR(VLOOKUP($A2392,#REF!,3,0)),"x",VLOOKUP($A2392,#REF!,3,FALSE))</f>
        <v>x</v>
      </c>
      <c r="G2392" s="9">
        <f t="shared" si="111"/>
        <v>1</v>
      </c>
      <c r="H2392" s="13">
        <f t="shared" si="112"/>
        <v>230</v>
      </c>
    </row>
    <row r="2393" spans="1:8" x14ac:dyDescent="0.25">
      <c r="A2393" s="2" t="str">
        <f>"TFP-60NW11S"</f>
        <v>TFP-60NW11S</v>
      </c>
      <c r="B2393" s="2" t="str">
        <f>"Flat Panel 3-Ph.-Adapter, 60W, 4000K, 30°, L:582mm, weiß"</f>
        <v>Flat Panel 3-Ph.-Adapter, 60W, 4000K, 30°, L:582mm, weiß</v>
      </c>
      <c r="C2393" s="16">
        <v>230</v>
      </c>
      <c r="D2393" s="11">
        <v>47</v>
      </c>
      <c r="E2393" s="7">
        <f t="shared" si="110"/>
        <v>1</v>
      </c>
      <c r="F2393" s="22" t="str">
        <f>IF(ISERROR(VLOOKUP($A2393,#REF!,3,0)),"x",VLOOKUP($A2393,#REF!,3,FALSE))</f>
        <v>x</v>
      </c>
      <c r="G2393" s="9">
        <f t="shared" si="111"/>
        <v>1</v>
      </c>
      <c r="H2393" s="13">
        <f t="shared" si="112"/>
        <v>230</v>
      </c>
    </row>
    <row r="2394" spans="1:8" x14ac:dyDescent="0.25">
      <c r="A2394" s="2" t="str">
        <f>"TFP-60NW12"</f>
        <v>TFP-60NW12</v>
      </c>
      <c r="B2394" s="2" t="str">
        <f>"Flat Panel 3-Ph.-Adapter, 60W, 4000K, 60°, L:582mm, schwarz"</f>
        <v>Flat Panel 3-Ph.-Adapter, 60W, 4000K, 60°, L:582mm, schwarz</v>
      </c>
      <c r="C2394" s="16">
        <v>230</v>
      </c>
      <c r="D2394" s="11">
        <v>47</v>
      </c>
      <c r="E2394" s="7">
        <f t="shared" si="110"/>
        <v>1</v>
      </c>
      <c r="F2394" s="22" t="str">
        <f>IF(ISERROR(VLOOKUP($A2394,#REF!,3,0)),"x",VLOOKUP($A2394,#REF!,3,FALSE))</f>
        <v>x</v>
      </c>
      <c r="G2394" s="9">
        <f t="shared" si="111"/>
        <v>1</v>
      </c>
      <c r="H2394" s="13">
        <f t="shared" si="112"/>
        <v>230</v>
      </c>
    </row>
    <row r="2395" spans="1:8" x14ac:dyDescent="0.25">
      <c r="A2395" s="2" t="str">
        <f>"TFP-60NW12DA"</f>
        <v>TFP-60NW12DA</v>
      </c>
      <c r="B2395" s="2" t="str">
        <f>"Flat Panel 3-Ph.-Adapter, 60W, 4000K, doppelt-asym. 20°, L:582mm, schwarz"</f>
        <v>Flat Panel 3-Ph.-Adapter, 60W, 4000K, doppelt-asym. 20°, L:582mm, schwarz</v>
      </c>
      <c r="C2395" s="16">
        <v>230</v>
      </c>
      <c r="D2395" s="11">
        <v>47</v>
      </c>
      <c r="E2395" s="7">
        <f t="shared" si="110"/>
        <v>1</v>
      </c>
      <c r="F2395" s="22" t="str">
        <f>IF(ISERROR(VLOOKUP($A2395,#REF!,3,0)),"x",VLOOKUP($A2395,#REF!,3,FALSE))</f>
        <v>x</v>
      </c>
      <c r="G2395" s="9">
        <f t="shared" si="111"/>
        <v>1</v>
      </c>
      <c r="H2395" s="13">
        <f t="shared" si="112"/>
        <v>230</v>
      </c>
    </row>
    <row r="2396" spans="1:8" x14ac:dyDescent="0.25">
      <c r="A2396" s="2" t="str">
        <f>"TFP-60NW12F"</f>
        <v>TFP-60NW12F</v>
      </c>
      <c r="B2396" s="2" t="str">
        <f>"Flat Panel 3-Ph.-Adapter, 60W, 4000K, 90°, L:582mm, schwarz"</f>
        <v>Flat Panel 3-Ph.-Adapter, 60W, 4000K, 90°, L:582mm, schwarz</v>
      </c>
      <c r="C2396" s="16">
        <v>230</v>
      </c>
      <c r="D2396" s="11">
        <v>47</v>
      </c>
      <c r="E2396" s="7">
        <f t="shared" si="110"/>
        <v>1</v>
      </c>
      <c r="F2396" s="22" t="str">
        <f>IF(ISERROR(VLOOKUP($A2396,#REF!,3,0)),"x",VLOOKUP($A2396,#REF!,3,FALSE))</f>
        <v>x</v>
      </c>
      <c r="G2396" s="9">
        <f t="shared" si="111"/>
        <v>1</v>
      </c>
      <c r="H2396" s="13">
        <f t="shared" si="112"/>
        <v>230</v>
      </c>
    </row>
    <row r="2397" spans="1:8" x14ac:dyDescent="0.25">
      <c r="A2397" s="2" t="str">
        <f>"TFP-60NW12S"</f>
        <v>TFP-60NW12S</v>
      </c>
      <c r="B2397" s="2" t="str">
        <f>"Flat Panel 3-Ph.-Adapter, 60W, 4000K, 30°, L:582mm, schwarz"</f>
        <v>Flat Panel 3-Ph.-Adapter, 60W, 4000K, 30°, L:582mm, schwarz</v>
      </c>
      <c r="C2397" s="16">
        <v>230</v>
      </c>
      <c r="D2397" s="11">
        <v>47</v>
      </c>
      <c r="E2397" s="7">
        <f t="shared" si="110"/>
        <v>1</v>
      </c>
      <c r="F2397" s="22" t="str">
        <f>IF(ISERROR(VLOOKUP($A2397,#REF!,3,0)),"x",VLOOKUP($A2397,#REF!,3,FALSE))</f>
        <v>x</v>
      </c>
      <c r="G2397" s="9">
        <f t="shared" si="111"/>
        <v>1</v>
      </c>
      <c r="H2397" s="13">
        <f t="shared" si="112"/>
        <v>230</v>
      </c>
    </row>
    <row r="2398" spans="1:8" x14ac:dyDescent="0.25">
      <c r="A2398" s="2" t="str">
        <f>"TFP-60WW11"</f>
        <v>TFP-60WW11</v>
      </c>
      <c r="B2398" s="2" t="str">
        <f>"Flat Panel 3-Ph.-Adapter, 60W, 3000K, 60°, L:582mm, weiß"</f>
        <v>Flat Panel 3-Ph.-Adapter, 60W, 3000K, 60°, L:582mm, weiß</v>
      </c>
      <c r="C2398" s="16">
        <v>230</v>
      </c>
      <c r="D2398" s="11">
        <v>47</v>
      </c>
      <c r="E2398" s="7">
        <f t="shared" si="110"/>
        <v>1</v>
      </c>
      <c r="F2398" s="22" t="str">
        <f>IF(ISERROR(VLOOKUP($A2398,#REF!,3,0)),"x",VLOOKUP($A2398,#REF!,3,FALSE))</f>
        <v>x</v>
      </c>
      <c r="G2398" s="9">
        <f t="shared" si="111"/>
        <v>1</v>
      </c>
      <c r="H2398" s="13">
        <f t="shared" si="112"/>
        <v>230</v>
      </c>
    </row>
    <row r="2399" spans="1:8" x14ac:dyDescent="0.25">
      <c r="A2399" s="2" t="str">
        <f>"TFP-60WW11DA"</f>
        <v>TFP-60WW11DA</v>
      </c>
      <c r="B2399" s="2" t="str">
        <f>"Flat Panel 3-Ph.-Adapter, 60W, 3000K, doppelt-asym. 20°, L:582mm, weiß"</f>
        <v>Flat Panel 3-Ph.-Adapter, 60W, 3000K, doppelt-asym. 20°, L:582mm, weiß</v>
      </c>
      <c r="C2399" s="16">
        <v>230</v>
      </c>
      <c r="D2399" s="11">
        <v>47</v>
      </c>
      <c r="E2399" s="7">
        <f t="shared" si="110"/>
        <v>1</v>
      </c>
      <c r="F2399" s="22" t="str">
        <f>IF(ISERROR(VLOOKUP($A2399,#REF!,3,0)),"x",VLOOKUP($A2399,#REF!,3,FALSE))</f>
        <v>x</v>
      </c>
      <c r="G2399" s="9">
        <f t="shared" si="111"/>
        <v>1</v>
      </c>
      <c r="H2399" s="13">
        <f t="shared" si="112"/>
        <v>230</v>
      </c>
    </row>
    <row r="2400" spans="1:8" x14ac:dyDescent="0.25">
      <c r="A2400" s="2" t="str">
        <f>"TFP-60WW11F"</f>
        <v>TFP-60WW11F</v>
      </c>
      <c r="B2400" s="2" t="str">
        <f>"Flat Panel 3-Ph.-Adapter, 60W, 3000K, 90°, L:582mm, weiß"</f>
        <v>Flat Panel 3-Ph.-Adapter, 60W, 3000K, 90°, L:582mm, weiß</v>
      </c>
      <c r="C2400" s="16">
        <v>230</v>
      </c>
      <c r="D2400" s="11">
        <v>47</v>
      </c>
      <c r="E2400" s="7">
        <f t="shared" si="110"/>
        <v>1</v>
      </c>
      <c r="F2400" s="22" t="str">
        <f>IF(ISERROR(VLOOKUP($A2400,#REF!,3,0)),"x",VLOOKUP($A2400,#REF!,3,FALSE))</f>
        <v>x</v>
      </c>
      <c r="G2400" s="9">
        <f t="shared" si="111"/>
        <v>1</v>
      </c>
      <c r="H2400" s="13">
        <f t="shared" si="112"/>
        <v>230</v>
      </c>
    </row>
    <row r="2401" spans="1:8" x14ac:dyDescent="0.25">
      <c r="A2401" s="2" t="str">
        <f>"TFP-60WW11S"</f>
        <v>TFP-60WW11S</v>
      </c>
      <c r="B2401" s="2" t="str">
        <f>"Flat Panel 3-Ph.-Adapter, 60W, 3000K, 30°, L:582mm, weiß"</f>
        <v>Flat Panel 3-Ph.-Adapter, 60W, 3000K, 30°, L:582mm, weiß</v>
      </c>
      <c r="C2401" s="16">
        <v>230</v>
      </c>
      <c r="D2401" s="11">
        <v>47</v>
      </c>
      <c r="E2401" s="7">
        <f t="shared" si="110"/>
        <v>1</v>
      </c>
      <c r="F2401" s="22" t="str">
        <f>IF(ISERROR(VLOOKUP($A2401,#REF!,3,0)),"x",VLOOKUP($A2401,#REF!,3,FALSE))</f>
        <v>x</v>
      </c>
      <c r="G2401" s="9">
        <f t="shared" si="111"/>
        <v>1</v>
      </c>
      <c r="H2401" s="13">
        <f t="shared" si="112"/>
        <v>230</v>
      </c>
    </row>
    <row r="2402" spans="1:8" x14ac:dyDescent="0.25">
      <c r="A2402" s="2" t="str">
        <f>"TFP-60WW12"</f>
        <v>TFP-60WW12</v>
      </c>
      <c r="B2402" s="2" t="str">
        <f>"Flat Panel 3-Ph.-Adapter, 60W, 3000K, 60°, L:582mm, schwarz"</f>
        <v>Flat Panel 3-Ph.-Adapter, 60W, 3000K, 60°, L:582mm, schwarz</v>
      </c>
      <c r="C2402" s="16">
        <v>230</v>
      </c>
      <c r="D2402" s="11">
        <v>47</v>
      </c>
      <c r="E2402" s="7">
        <f t="shared" si="110"/>
        <v>1</v>
      </c>
      <c r="F2402" s="22" t="str">
        <f>IF(ISERROR(VLOOKUP($A2402,#REF!,3,0)),"x",VLOOKUP($A2402,#REF!,3,FALSE))</f>
        <v>x</v>
      </c>
      <c r="G2402" s="9">
        <f t="shared" si="111"/>
        <v>1</v>
      </c>
      <c r="H2402" s="13">
        <f t="shared" si="112"/>
        <v>230</v>
      </c>
    </row>
    <row r="2403" spans="1:8" x14ac:dyDescent="0.25">
      <c r="A2403" s="2" t="str">
        <f>"TFP-60WW12DA"</f>
        <v>TFP-60WW12DA</v>
      </c>
      <c r="B2403" s="2" t="str">
        <f>"Flat Panel 3-Ph.-Adapter, 60W, 3000K, doppelt-asym. 20°, L:582mm, schwarz"</f>
        <v>Flat Panel 3-Ph.-Adapter, 60W, 3000K, doppelt-asym. 20°, L:582mm, schwarz</v>
      </c>
      <c r="C2403" s="16">
        <v>230</v>
      </c>
      <c r="D2403" s="11">
        <v>47</v>
      </c>
      <c r="E2403" s="7">
        <f t="shared" si="110"/>
        <v>1</v>
      </c>
      <c r="F2403" s="22" t="str">
        <f>IF(ISERROR(VLOOKUP($A2403,#REF!,3,0)),"x",VLOOKUP($A2403,#REF!,3,FALSE))</f>
        <v>x</v>
      </c>
      <c r="G2403" s="9">
        <f t="shared" si="111"/>
        <v>1</v>
      </c>
      <c r="H2403" s="13">
        <f t="shared" si="112"/>
        <v>230</v>
      </c>
    </row>
    <row r="2404" spans="1:8" x14ac:dyDescent="0.25">
      <c r="A2404" s="2" t="str">
        <f>"TFP-60WW12F"</f>
        <v>TFP-60WW12F</v>
      </c>
      <c r="B2404" s="2" t="str">
        <f>"Flat Panel 3-Ph.-Adapter, 60W, 3000K, 90°, L:582mm, schwarz"</f>
        <v>Flat Panel 3-Ph.-Adapter, 60W, 3000K, 90°, L:582mm, schwarz</v>
      </c>
      <c r="C2404" s="16">
        <v>230</v>
      </c>
      <c r="D2404" s="11">
        <v>47</v>
      </c>
      <c r="E2404" s="7">
        <f t="shared" si="110"/>
        <v>1</v>
      </c>
      <c r="F2404" s="22" t="str">
        <f>IF(ISERROR(VLOOKUP($A2404,#REF!,3,0)),"x",VLOOKUP($A2404,#REF!,3,FALSE))</f>
        <v>x</v>
      </c>
      <c r="G2404" s="9">
        <f t="shared" si="111"/>
        <v>1</v>
      </c>
      <c r="H2404" s="13">
        <f t="shared" si="112"/>
        <v>230</v>
      </c>
    </row>
    <row r="2405" spans="1:8" x14ac:dyDescent="0.25">
      <c r="A2405" s="2" t="str">
        <f>"TFP-60WW12S"</f>
        <v>TFP-60WW12S</v>
      </c>
      <c r="B2405" s="2" t="str">
        <f>"Flat Panel 3-Ph.-Adapter, 60W, 3000K, 30°, L:582mm, schwarz"</f>
        <v>Flat Panel 3-Ph.-Adapter, 60W, 3000K, 30°, L:582mm, schwarz</v>
      </c>
      <c r="C2405" s="16">
        <v>230</v>
      </c>
      <c r="D2405" s="11">
        <v>47</v>
      </c>
      <c r="E2405" s="7">
        <f t="shared" si="110"/>
        <v>1</v>
      </c>
      <c r="F2405" s="22" t="str">
        <f>IF(ISERROR(VLOOKUP($A2405,#REF!,3,0)),"x",VLOOKUP($A2405,#REF!,3,FALSE))</f>
        <v>x</v>
      </c>
      <c r="G2405" s="9">
        <f t="shared" si="111"/>
        <v>1</v>
      </c>
      <c r="H2405" s="13">
        <f t="shared" si="112"/>
        <v>230</v>
      </c>
    </row>
    <row r="2406" spans="1:8" x14ac:dyDescent="0.25">
      <c r="A2406" s="2" t="str">
        <f>"TFP-80NW11"</f>
        <v>TFP-80NW11</v>
      </c>
      <c r="B2406" s="2" t="str">
        <f>"Flat Panel 3-Ph.-Adapter, 80W, 4000K, 60°, L:582mm, weiß"</f>
        <v>Flat Panel 3-Ph.-Adapter, 80W, 4000K, 60°, L:582mm, weiß</v>
      </c>
      <c r="C2406" s="16">
        <v>240</v>
      </c>
      <c r="D2406" s="11">
        <v>47</v>
      </c>
      <c r="E2406" s="7">
        <f t="shared" si="110"/>
        <v>1</v>
      </c>
      <c r="F2406" s="22" t="str">
        <f>IF(ISERROR(VLOOKUP($A2406,#REF!,3,0)),"x",VLOOKUP($A2406,#REF!,3,FALSE))</f>
        <v>x</v>
      </c>
      <c r="G2406" s="9">
        <f t="shared" si="111"/>
        <v>1</v>
      </c>
      <c r="H2406" s="13">
        <f t="shared" si="112"/>
        <v>240</v>
      </c>
    </row>
    <row r="2407" spans="1:8" x14ac:dyDescent="0.25">
      <c r="A2407" s="2" t="str">
        <f>"TFP-80NW11DA"</f>
        <v>TFP-80NW11DA</v>
      </c>
      <c r="B2407" s="2" t="str">
        <f>"Flat Panel 3-Ph.-Adapter, 80W, 4000K, doppelt-aysm. 20°, L:582mm, weiß"</f>
        <v>Flat Panel 3-Ph.-Adapter, 80W, 4000K, doppelt-aysm. 20°, L:582mm, weiß</v>
      </c>
      <c r="C2407" s="16">
        <v>240</v>
      </c>
      <c r="D2407" s="11">
        <v>47</v>
      </c>
      <c r="E2407" s="7">
        <f t="shared" si="110"/>
        <v>1</v>
      </c>
      <c r="F2407" s="22" t="str">
        <f>IF(ISERROR(VLOOKUP($A2407,#REF!,3,0)),"x",VLOOKUP($A2407,#REF!,3,FALSE))</f>
        <v>x</v>
      </c>
      <c r="G2407" s="9">
        <f t="shared" si="111"/>
        <v>1</v>
      </c>
      <c r="H2407" s="13">
        <f t="shared" si="112"/>
        <v>240</v>
      </c>
    </row>
    <row r="2408" spans="1:8" x14ac:dyDescent="0.25">
      <c r="A2408" s="2" t="str">
        <f>"TFP-80NW11F"</f>
        <v>TFP-80NW11F</v>
      </c>
      <c r="B2408" s="2" t="str">
        <f>"Flat Panel 3-Ph.-Adapter, 80W, 4000K, 90°, L:582mm, weiß"</f>
        <v>Flat Panel 3-Ph.-Adapter, 80W, 4000K, 90°, L:582mm, weiß</v>
      </c>
      <c r="C2408" s="16">
        <v>240</v>
      </c>
      <c r="D2408" s="11">
        <v>47</v>
      </c>
      <c r="E2408" s="7">
        <f t="shared" si="110"/>
        <v>1</v>
      </c>
      <c r="F2408" s="22" t="str">
        <f>IF(ISERROR(VLOOKUP($A2408,#REF!,3,0)),"x",VLOOKUP($A2408,#REF!,3,FALSE))</f>
        <v>x</v>
      </c>
      <c r="G2408" s="9">
        <f t="shared" si="111"/>
        <v>1</v>
      </c>
      <c r="H2408" s="13">
        <f t="shared" si="112"/>
        <v>240</v>
      </c>
    </row>
    <row r="2409" spans="1:8" x14ac:dyDescent="0.25">
      <c r="A2409" s="2" t="str">
        <f>"TFP-80NW11S"</f>
        <v>TFP-80NW11S</v>
      </c>
      <c r="B2409" s="2" t="str">
        <f>"Flat Panel 3-Ph.-Adapter, 80W, 4000K, 30°, L:582mm, weiß"</f>
        <v>Flat Panel 3-Ph.-Adapter, 80W, 4000K, 30°, L:582mm, weiß</v>
      </c>
      <c r="C2409" s="16">
        <v>240</v>
      </c>
      <c r="D2409" s="11">
        <v>47</v>
      </c>
      <c r="E2409" s="7">
        <f t="shared" si="110"/>
        <v>1</v>
      </c>
      <c r="F2409" s="22" t="str">
        <f>IF(ISERROR(VLOOKUP($A2409,#REF!,3,0)),"x",VLOOKUP($A2409,#REF!,3,FALSE))</f>
        <v>x</v>
      </c>
      <c r="G2409" s="9">
        <f t="shared" si="111"/>
        <v>1</v>
      </c>
      <c r="H2409" s="13">
        <f t="shared" si="112"/>
        <v>240</v>
      </c>
    </row>
    <row r="2410" spans="1:8" x14ac:dyDescent="0.25">
      <c r="A2410" s="2" t="str">
        <f>"TFP-80NW12"</f>
        <v>TFP-80NW12</v>
      </c>
      <c r="B2410" s="2" t="str">
        <f>"Flat Panel 3-Ph.-Adapter, 80W, 4000K, 60°, L:582mm, schwarz"</f>
        <v>Flat Panel 3-Ph.-Adapter, 80W, 4000K, 60°, L:582mm, schwarz</v>
      </c>
      <c r="C2410" s="16">
        <v>240</v>
      </c>
      <c r="D2410" s="11">
        <v>47</v>
      </c>
      <c r="E2410" s="7">
        <f t="shared" si="110"/>
        <v>1</v>
      </c>
      <c r="F2410" s="22" t="str">
        <f>IF(ISERROR(VLOOKUP($A2410,#REF!,3,0)),"x",VLOOKUP($A2410,#REF!,3,FALSE))</f>
        <v>x</v>
      </c>
      <c r="G2410" s="9">
        <f t="shared" si="111"/>
        <v>1</v>
      </c>
      <c r="H2410" s="13">
        <f t="shared" si="112"/>
        <v>240</v>
      </c>
    </row>
    <row r="2411" spans="1:8" x14ac:dyDescent="0.25">
      <c r="A2411" s="2" t="str">
        <f>"TFP-80NW12DA"</f>
        <v>TFP-80NW12DA</v>
      </c>
      <c r="B2411" s="2" t="str">
        <f>"Flat Panel 3-Ph.-Adapter, 80W, 4000K, doppelt-asym. 20°, L:582mm, schwarz"</f>
        <v>Flat Panel 3-Ph.-Adapter, 80W, 4000K, doppelt-asym. 20°, L:582mm, schwarz</v>
      </c>
      <c r="C2411" s="16">
        <v>240</v>
      </c>
      <c r="D2411" s="11">
        <v>47</v>
      </c>
      <c r="E2411" s="7">
        <f t="shared" si="110"/>
        <v>1</v>
      </c>
      <c r="F2411" s="22" t="str">
        <f>IF(ISERROR(VLOOKUP($A2411,#REF!,3,0)),"x",VLOOKUP($A2411,#REF!,3,FALSE))</f>
        <v>x</v>
      </c>
      <c r="G2411" s="9">
        <f t="shared" si="111"/>
        <v>1</v>
      </c>
      <c r="H2411" s="13">
        <f t="shared" si="112"/>
        <v>240</v>
      </c>
    </row>
    <row r="2412" spans="1:8" x14ac:dyDescent="0.25">
      <c r="A2412" s="2" t="str">
        <f>"TFP-80NW12F"</f>
        <v>TFP-80NW12F</v>
      </c>
      <c r="B2412" s="2" t="str">
        <f>"Flat Panel 3-Ph.-Adapter, 80W, 4000K, 90°, L:582mm, schwarz"</f>
        <v>Flat Panel 3-Ph.-Adapter, 80W, 4000K, 90°, L:582mm, schwarz</v>
      </c>
      <c r="C2412" s="16">
        <v>240</v>
      </c>
      <c r="D2412" s="11">
        <v>47</v>
      </c>
      <c r="E2412" s="7">
        <f t="shared" si="110"/>
        <v>1</v>
      </c>
      <c r="F2412" s="22" t="str">
        <f>IF(ISERROR(VLOOKUP($A2412,#REF!,3,0)),"x",VLOOKUP($A2412,#REF!,3,FALSE))</f>
        <v>x</v>
      </c>
      <c r="G2412" s="9">
        <f t="shared" si="111"/>
        <v>1</v>
      </c>
      <c r="H2412" s="13">
        <f t="shared" si="112"/>
        <v>240</v>
      </c>
    </row>
    <row r="2413" spans="1:8" x14ac:dyDescent="0.25">
      <c r="A2413" s="2" t="str">
        <f>"TFP-80NW12S"</f>
        <v>TFP-80NW12S</v>
      </c>
      <c r="B2413" s="2" t="str">
        <f>"Flat Panel 3-Ph.-Adapter, 80W, 4000K, 30°, L:582mm, schwarz"</f>
        <v>Flat Panel 3-Ph.-Adapter, 80W, 4000K, 30°, L:582mm, schwarz</v>
      </c>
      <c r="C2413" s="16">
        <v>240</v>
      </c>
      <c r="D2413" s="11">
        <v>47</v>
      </c>
      <c r="E2413" s="7">
        <f t="shared" si="110"/>
        <v>1</v>
      </c>
      <c r="F2413" s="22" t="str">
        <f>IF(ISERROR(VLOOKUP($A2413,#REF!,3,0)),"x",VLOOKUP($A2413,#REF!,3,FALSE))</f>
        <v>x</v>
      </c>
      <c r="G2413" s="9">
        <f t="shared" si="111"/>
        <v>1</v>
      </c>
      <c r="H2413" s="13">
        <f t="shared" si="112"/>
        <v>240</v>
      </c>
    </row>
    <row r="2414" spans="1:8" x14ac:dyDescent="0.25">
      <c r="A2414" s="2" t="str">
        <f>"TFP-80WW11"</f>
        <v>TFP-80WW11</v>
      </c>
      <c r="B2414" s="2" t="str">
        <f>"Flat Panel 3-Ph.-Adapter, 80W, 3000K, 60°, L:582mm, weiß"</f>
        <v>Flat Panel 3-Ph.-Adapter, 80W, 3000K, 60°, L:582mm, weiß</v>
      </c>
      <c r="C2414" s="16">
        <v>240</v>
      </c>
      <c r="D2414" s="11">
        <v>47</v>
      </c>
      <c r="E2414" s="7">
        <f t="shared" si="110"/>
        <v>1</v>
      </c>
      <c r="F2414" s="22" t="str">
        <f>IF(ISERROR(VLOOKUP($A2414,#REF!,3,0)),"x",VLOOKUP($A2414,#REF!,3,FALSE))</f>
        <v>x</v>
      </c>
      <c r="G2414" s="9">
        <f t="shared" si="111"/>
        <v>1</v>
      </c>
      <c r="H2414" s="13">
        <f t="shared" si="112"/>
        <v>240</v>
      </c>
    </row>
    <row r="2415" spans="1:8" x14ac:dyDescent="0.25">
      <c r="A2415" s="2" t="str">
        <f>"TFP-80WW11DA"</f>
        <v>TFP-80WW11DA</v>
      </c>
      <c r="B2415" s="2" t="str">
        <f>"Flat Panel 3-Ph.-Adapter, 80W, 3000K, doppelt-asym. 20°, L:582mm, weiß"</f>
        <v>Flat Panel 3-Ph.-Adapter, 80W, 3000K, doppelt-asym. 20°, L:582mm, weiß</v>
      </c>
      <c r="C2415" s="16">
        <v>240</v>
      </c>
      <c r="D2415" s="11">
        <v>47</v>
      </c>
      <c r="E2415" s="7">
        <f t="shared" si="110"/>
        <v>1</v>
      </c>
      <c r="F2415" s="22" t="str">
        <f>IF(ISERROR(VLOOKUP($A2415,#REF!,3,0)),"x",VLOOKUP($A2415,#REF!,3,FALSE))</f>
        <v>x</v>
      </c>
      <c r="G2415" s="9">
        <f t="shared" si="111"/>
        <v>1</v>
      </c>
      <c r="H2415" s="13">
        <f t="shared" si="112"/>
        <v>240</v>
      </c>
    </row>
    <row r="2416" spans="1:8" x14ac:dyDescent="0.25">
      <c r="A2416" s="2" t="str">
        <f>"TFP-80WW11F"</f>
        <v>TFP-80WW11F</v>
      </c>
      <c r="B2416" s="2" t="str">
        <f>"Flat Panel 3-Ph.-Adapter, 80W, 3000K, 90°, L:582mm, weiß"</f>
        <v>Flat Panel 3-Ph.-Adapter, 80W, 3000K, 90°, L:582mm, weiß</v>
      </c>
      <c r="C2416" s="16">
        <v>240</v>
      </c>
      <c r="D2416" s="11">
        <v>47</v>
      </c>
      <c r="E2416" s="7">
        <f t="shared" si="110"/>
        <v>1</v>
      </c>
      <c r="F2416" s="22" t="str">
        <f>IF(ISERROR(VLOOKUP($A2416,#REF!,3,0)),"x",VLOOKUP($A2416,#REF!,3,FALSE))</f>
        <v>x</v>
      </c>
      <c r="G2416" s="9">
        <f t="shared" si="111"/>
        <v>1</v>
      </c>
      <c r="H2416" s="13">
        <f t="shared" si="112"/>
        <v>240</v>
      </c>
    </row>
    <row r="2417" spans="1:8" x14ac:dyDescent="0.25">
      <c r="A2417" s="2" t="str">
        <f>"TFP-80WW11S"</f>
        <v>TFP-80WW11S</v>
      </c>
      <c r="B2417" s="2" t="str">
        <f>"Flat Panel 3-Ph.-Adapter, 80W, 3000K, 30°, L:582mm, weiß"</f>
        <v>Flat Panel 3-Ph.-Adapter, 80W, 3000K, 30°, L:582mm, weiß</v>
      </c>
      <c r="C2417" s="16">
        <v>240</v>
      </c>
      <c r="D2417" s="11">
        <v>47</v>
      </c>
      <c r="E2417" s="7">
        <f t="shared" si="110"/>
        <v>1</v>
      </c>
      <c r="F2417" s="22" t="str">
        <f>IF(ISERROR(VLOOKUP($A2417,#REF!,3,0)),"x",VLOOKUP($A2417,#REF!,3,FALSE))</f>
        <v>x</v>
      </c>
      <c r="G2417" s="9">
        <f t="shared" si="111"/>
        <v>1</v>
      </c>
      <c r="H2417" s="13">
        <f t="shared" si="112"/>
        <v>240</v>
      </c>
    </row>
    <row r="2418" spans="1:8" x14ac:dyDescent="0.25">
      <c r="A2418" s="2" t="str">
        <f>"TFP-80WW12"</f>
        <v>TFP-80WW12</v>
      </c>
      <c r="B2418" s="2" t="str">
        <f>"Flat Panel 3-Ph.-Adapter, 80W, 3000K, 60°, L:582mm, schwarz"</f>
        <v>Flat Panel 3-Ph.-Adapter, 80W, 3000K, 60°, L:582mm, schwarz</v>
      </c>
      <c r="C2418" s="16">
        <v>240</v>
      </c>
      <c r="D2418" s="11">
        <v>47</v>
      </c>
      <c r="E2418" s="7">
        <f t="shared" si="110"/>
        <v>1</v>
      </c>
      <c r="F2418" s="22" t="str">
        <f>IF(ISERROR(VLOOKUP($A2418,#REF!,3,0)),"x",VLOOKUP($A2418,#REF!,3,FALSE))</f>
        <v>x</v>
      </c>
      <c r="G2418" s="9">
        <f t="shared" si="111"/>
        <v>1</v>
      </c>
      <c r="H2418" s="13">
        <f t="shared" si="112"/>
        <v>240</v>
      </c>
    </row>
    <row r="2419" spans="1:8" x14ac:dyDescent="0.25">
      <c r="A2419" s="2" t="str">
        <f>"TFP-80WW12DA"</f>
        <v>TFP-80WW12DA</v>
      </c>
      <c r="B2419" s="2" t="str">
        <f>"Flat Panel 3-Ph.-Adapter, 80W, 3000K, double-asym. 20°, L:582mm, schwarz"</f>
        <v>Flat Panel 3-Ph.-Adapter, 80W, 3000K, double-asym. 20°, L:582mm, schwarz</v>
      </c>
      <c r="C2419" s="16">
        <v>240</v>
      </c>
      <c r="D2419" s="11">
        <v>47</v>
      </c>
      <c r="E2419" s="7">
        <f t="shared" si="110"/>
        <v>1</v>
      </c>
      <c r="F2419" s="22" t="str">
        <f>IF(ISERROR(VLOOKUP($A2419,#REF!,3,0)),"x",VLOOKUP($A2419,#REF!,3,FALSE))</f>
        <v>x</v>
      </c>
      <c r="G2419" s="9">
        <f t="shared" si="111"/>
        <v>1</v>
      </c>
      <c r="H2419" s="13">
        <f t="shared" si="112"/>
        <v>240</v>
      </c>
    </row>
    <row r="2420" spans="1:8" x14ac:dyDescent="0.25">
      <c r="A2420" s="2" t="str">
        <f>"TFP-80WW12F"</f>
        <v>TFP-80WW12F</v>
      </c>
      <c r="B2420" s="2" t="str">
        <f>"Flat Panel 3-Ph.-Adapter, 80W, 3000K, 90°, L:582mm, schwarz"</f>
        <v>Flat Panel 3-Ph.-Adapter, 80W, 3000K, 90°, L:582mm, schwarz</v>
      </c>
      <c r="C2420" s="16">
        <v>240</v>
      </c>
      <c r="D2420" s="11">
        <v>47</v>
      </c>
      <c r="E2420" s="7">
        <f t="shared" si="110"/>
        <v>1</v>
      </c>
      <c r="F2420" s="22" t="str">
        <f>IF(ISERROR(VLOOKUP($A2420,#REF!,3,0)),"x",VLOOKUP($A2420,#REF!,3,FALSE))</f>
        <v>x</v>
      </c>
      <c r="G2420" s="9">
        <f t="shared" si="111"/>
        <v>1</v>
      </c>
      <c r="H2420" s="13">
        <f t="shared" si="112"/>
        <v>240</v>
      </c>
    </row>
    <row r="2421" spans="1:8" x14ac:dyDescent="0.25">
      <c r="A2421" s="2" t="str">
        <f>"TFP-80WW12S"</f>
        <v>TFP-80WW12S</v>
      </c>
      <c r="B2421" s="2" t="str">
        <f>"Flat Panel 3-Ph.-Adapter, 80W, 3000K, 30°, L:582mm, schwarz"</f>
        <v>Flat Panel 3-Ph.-Adapter, 80W, 3000K, 30°, L:582mm, schwarz</v>
      </c>
      <c r="C2421" s="16">
        <v>240</v>
      </c>
      <c r="D2421" s="11">
        <v>47</v>
      </c>
      <c r="E2421" s="7">
        <f t="shared" si="110"/>
        <v>1</v>
      </c>
      <c r="F2421" s="22" t="str">
        <f>IF(ISERROR(VLOOKUP($A2421,#REF!,3,0)),"x",VLOOKUP($A2421,#REF!,3,FALSE))</f>
        <v>x</v>
      </c>
      <c r="G2421" s="9">
        <f t="shared" si="111"/>
        <v>1</v>
      </c>
      <c r="H2421" s="13">
        <f t="shared" si="112"/>
        <v>240</v>
      </c>
    </row>
    <row r="2422" spans="1:8" x14ac:dyDescent="0.25">
      <c r="A2422" s="2" t="str">
        <f>"TL-11-2P-UVC"</f>
        <v>TL-11-2P-UVC</v>
      </c>
      <c r="B2422" s="2" t="str">
        <f>"TUV TL-Mini, 11W 2-Pin (2P) für UVC CLA Leuchte"</f>
        <v>TUV TL-Mini, 11W 2-Pin (2P) für UVC CLA Leuchte</v>
      </c>
      <c r="C2422" s="16">
        <v>21.75</v>
      </c>
      <c r="D2422" s="11">
        <v>203</v>
      </c>
      <c r="E2422" s="7">
        <f t="shared" si="110"/>
        <v>1</v>
      </c>
      <c r="F2422" s="22" t="str">
        <f>IF(ISERROR(VLOOKUP($A2422,#REF!,3,0)),"x",VLOOKUP($A2422,#REF!,3,FALSE))</f>
        <v>x</v>
      </c>
      <c r="G2422" s="9">
        <f t="shared" si="111"/>
        <v>1</v>
      </c>
      <c r="H2422" s="13">
        <f t="shared" si="112"/>
        <v>21.75</v>
      </c>
    </row>
    <row r="2423" spans="1:8" x14ac:dyDescent="0.25">
      <c r="A2423" s="2" t="str">
        <f>"TR-34NW6F"</f>
        <v>TR-34NW6F</v>
      </c>
      <c r="B2423" s="2" t="str">
        <f>"4223GR4K TRIANGOLO Wand-u Deckenaußenleuchte, LED 34,5W 4000K graphitgrau"</f>
        <v>4223GR4K TRIANGOLO Wand-u Deckenaußenleuchte, LED 34,5W 4000K graphitgrau</v>
      </c>
      <c r="C2423" s="16">
        <v>700</v>
      </c>
      <c r="D2423" s="11">
        <v>333</v>
      </c>
      <c r="E2423" s="7">
        <f t="shared" si="110"/>
        <v>1</v>
      </c>
      <c r="F2423" s="22" t="str">
        <f>IF(ISERROR(VLOOKUP($A2423,#REF!,3,0)),"x",VLOOKUP($A2423,#REF!,3,FALSE))</f>
        <v>x</v>
      </c>
      <c r="G2423" s="9">
        <f t="shared" si="111"/>
        <v>1</v>
      </c>
      <c r="H2423" s="13">
        <f t="shared" si="112"/>
        <v>700</v>
      </c>
    </row>
    <row r="2424" spans="1:8" x14ac:dyDescent="0.25">
      <c r="A2424" s="2" t="str">
        <f>"TR-34NW7F"</f>
        <v>TR-34NW7F</v>
      </c>
      <c r="B2424" s="2" t="str">
        <f>"4223AG4K TRIANGOLO Wand-u Deckenaußenleuchte, LED 34,5W, 4000K, aluminiumgrau"</f>
        <v>4223AG4K TRIANGOLO Wand-u Deckenaußenleuchte, LED 34,5W, 4000K, aluminiumgrau</v>
      </c>
      <c r="C2424" s="16">
        <v>700</v>
      </c>
      <c r="D2424" s="11">
        <v>333</v>
      </c>
      <c r="E2424" s="7">
        <f t="shared" si="110"/>
        <v>1</v>
      </c>
      <c r="F2424" s="22" t="str">
        <f>IF(ISERROR(VLOOKUP($A2424,#REF!,3,0)),"x",VLOOKUP($A2424,#REF!,3,FALSE))</f>
        <v>x</v>
      </c>
      <c r="G2424" s="9">
        <f t="shared" si="111"/>
        <v>1</v>
      </c>
      <c r="H2424" s="13">
        <f t="shared" si="112"/>
        <v>700</v>
      </c>
    </row>
    <row r="2425" spans="1:8" x14ac:dyDescent="0.25">
      <c r="A2425" s="2" t="str">
        <f>"TR-34WW6F"</f>
        <v>TR-34WW6F</v>
      </c>
      <c r="B2425" s="2" t="str">
        <f>"4223GR3K TRIANGOLO Wand-u Deckenaußenleuchte, LED 34,5W 3000K Alu graphitgrau"</f>
        <v>4223GR3K TRIANGOLO Wand-u Deckenaußenleuchte, LED 34,5W 3000K Alu graphitgrau</v>
      </c>
      <c r="C2425" s="16">
        <v>700</v>
      </c>
      <c r="D2425" s="11">
        <v>333</v>
      </c>
      <c r="E2425" s="7">
        <f t="shared" si="110"/>
        <v>1</v>
      </c>
      <c r="F2425" s="22" t="str">
        <f>IF(ISERROR(VLOOKUP($A2425,#REF!,3,0)),"x",VLOOKUP($A2425,#REF!,3,FALSE))</f>
        <v>x</v>
      </c>
      <c r="G2425" s="9">
        <f t="shared" si="111"/>
        <v>1</v>
      </c>
      <c r="H2425" s="13">
        <f t="shared" si="112"/>
        <v>700</v>
      </c>
    </row>
    <row r="2426" spans="1:8" x14ac:dyDescent="0.25">
      <c r="A2426" s="2" t="str">
        <f>"TR-34WW7F"</f>
        <v>TR-34WW7F</v>
      </c>
      <c r="B2426" s="2" t="str">
        <f>"4223AG3K TRIANGOLO Wand-u Deckenaußenleuchte, LED 34,5W, 3000K, aluminiumgrau"</f>
        <v>4223AG3K TRIANGOLO Wand-u Deckenaußenleuchte, LED 34,5W, 3000K, aluminiumgrau</v>
      </c>
      <c r="C2426" s="16">
        <v>700</v>
      </c>
      <c r="D2426" s="11">
        <v>333</v>
      </c>
      <c r="E2426" s="7">
        <f t="shared" si="110"/>
        <v>1</v>
      </c>
      <c r="F2426" s="22" t="str">
        <f>IF(ISERROR(VLOOKUP($A2426,#REF!,3,0)),"x",VLOOKUP($A2426,#REF!,3,FALSE))</f>
        <v>x</v>
      </c>
      <c r="G2426" s="9">
        <f t="shared" si="111"/>
        <v>1</v>
      </c>
      <c r="H2426" s="13">
        <f t="shared" si="112"/>
        <v>700</v>
      </c>
    </row>
    <row r="2427" spans="1:8" x14ac:dyDescent="0.25">
      <c r="A2427" s="2" t="str">
        <f>"TR-50NW6BAT"</f>
        <v>TR-50NW6BAT</v>
      </c>
      <c r="B2427" s="2" t="str">
        <f>"4225GR4KBAT TRIANGOLO Wand-u Deckenaußenleuchte, LED 53W 4000K Alu graphitgrau"</f>
        <v>4225GR4KBAT TRIANGOLO Wand-u Deckenaußenleuchte, LED 53W 4000K Alu graphitgrau</v>
      </c>
      <c r="C2427" s="16">
        <v>775</v>
      </c>
      <c r="D2427" s="11">
        <v>333</v>
      </c>
      <c r="E2427" s="7">
        <f t="shared" si="110"/>
        <v>1</v>
      </c>
      <c r="F2427" s="22" t="str">
        <f>IF(ISERROR(VLOOKUP($A2427,#REF!,3,0)),"x",VLOOKUP($A2427,#REF!,3,FALSE))</f>
        <v>x</v>
      </c>
      <c r="G2427" s="9">
        <f t="shared" si="111"/>
        <v>1</v>
      </c>
      <c r="H2427" s="13">
        <f t="shared" si="112"/>
        <v>775</v>
      </c>
    </row>
    <row r="2428" spans="1:8" x14ac:dyDescent="0.25">
      <c r="A2428" s="2" t="str">
        <f>"TR-50NW6F"</f>
        <v>TR-50NW6F</v>
      </c>
      <c r="B2428" s="2" t="str">
        <f>"4225GR4K TRIANGOLO Wand-u Deckenaußenleuchte, LED 53W 4000K Alu graphitgrau"</f>
        <v>4225GR4K TRIANGOLO Wand-u Deckenaußenleuchte, LED 53W 4000K Alu graphitgrau</v>
      </c>
      <c r="C2428" s="16">
        <v>775</v>
      </c>
      <c r="D2428" s="11">
        <v>333</v>
      </c>
      <c r="E2428" s="7">
        <f t="shared" si="110"/>
        <v>1</v>
      </c>
      <c r="F2428" s="22" t="str">
        <f>IF(ISERROR(VLOOKUP($A2428,#REF!,3,0)),"x",VLOOKUP($A2428,#REF!,3,FALSE))</f>
        <v>x</v>
      </c>
      <c r="G2428" s="9">
        <f t="shared" si="111"/>
        <v>1</v>
      </c>
      <c r="H2428" s="13">
        <f t="shared" si="112"/>
        <v>775</v>
      </c>
    </row>
    <row r="2429" spans="1:8" x14ac:dyDescent="0.25">
      <c r="A2429" s="2" t="str">
        <f>"TR-50NW6S"</f>
        <v>TR-50NW6S</v>
      </c>
      <c r="B2429" s="2" t="str">
        <f>"4225GR4K25° TRIANGOLO Wand-u Deckenaußenleuchte, LED 53W 4000K Alu graphitgrau"</f>
        <v>4225GR4K25° TRIANGOLO Wand-u Deckenaußenleuchte, LED 53W 4000K Alu graphitgrau</v>
      </c>
      <c r="C2429" s="16">
        <v>775</v>
      </c>
      <c r="D2429" s="11">
        <v>333</v>
      </c>
      <c r="E2429" s="7">
        <f t="shared" si="110"/>
        <v>1</v>
      </c>
      <c r="F2429" s="22" t="str">
        <f>IF(ISERROR(VLOOKUP($A2429,#REF!,3,0)),"x",VLOOKUP($A2429,#REF!,3,FALSE))</f>
        <v>x</v>
      </c>
      <c r="G2429" s="9">
        <f t="shared" si="111"/>
        <v>1</v>
      </c>
      <c r="H2429" s="13">
        <f t="shared" si="112"/>
        <v>775</v>
      </c>
    </row>
    <row r="2430" spans="1:8" x14ac:dyDescent="0.25">
      <c r="A2430" s="2" t="str">
        <f>"TR-50NW7BAT"</f>
        <v>TR-50NW7BAT</v>
      </c>
      <c r="B2430" s="2" t="str">
        <f>"4225AG4KBAT TRIANGOLO Wand-u Deckenaußenleuchte, LED 53W 4000K Alu aluminiumgrau"</f>
        <v>4225AG4KBAT TRIANGOLO Wand-u Deckenaußenleuchte, LED 53W 4000K Alu aluminiumgrau</v>
      </c>
      <c r="C2430" s="16">
        <v>775</v>
      </c>
      <c r="D2430" s="11">
        <v>333</v>
      </c>
      <c r="E2430" s="7">
        <f t="shared" si="110"/>
        <v>1</v>
      </c>
      <c r="F2430" s="22" t="str">
        <f>IF(ISERROR(VLOOKUP($A2430,#REF!,3,0)),"x",VLOOKUP($A2430,#REF!,3,FALSE))</f>
        <v>x</v>
      </c>
      <c r="G2430" s="9">
        <f t="shared" si="111"/>
        <v>1</v>
      </c>
      <c r="H2430" s="13">
        <f t="shared" si="112"/>
        <v>775</v>
      </c>
    </row>
    <row r="2431" spans="1:8" x14ac:dyDescent="0.25">
      <c r="A2431" s="2" t="str">
        <f>"TR-50NW7F"</f>
        <v>TR-50NW7F</v>
      </c>
      <c r="B2431" s="2" t="str">
        <f>"4225AG4K TRIANGOLO Wand-u Deckenaußenleuchte, LED 53W 4000K Alu aluminiumgrau"</f>
        <v>4225AG4K TRIANGOLO Wand-u Deckenaußenleuchte, LED 53W 4000K Alu aluminiumgrau</v>
      </c>
      <c r="C2431" s="16">
        <v>775</v>
      </c>
      <c r="D2431" s="11">
        <v>333</v>
      </c>
      <c r="E2431" s="7">
        <f t="shared" si="110"/>
        <v>1</v>
      </c>
      <c r="F2431" s="22" t="str">
        <f>IF(ISERROR(VLOOKUP($A2431,#REF!,3,0)),"x",VLOOKUP($A2431,#REF!,3,FALSE))</f>
        <v>x</v>
      </c>
      <c r="G2431" s="9">
        <f t="shared" si="111"/>
        <v>1</v>
      </c>
      <c r="H2431" s="13">
        <f t="shared" si="112"/>
        <v>775</v>
      </c>
    </row>
    <row r="2432" spans="1:8" x14ac:dyDescent="0.25">
      <c r="A2432" s="2" t="str">
        <f>"TR-50NW7S"</f>
        <v>TR-50NW7S</v>
      </c>
      <c r="B2432" s="2" t="str">
        <f>"4225AG4K25° TRIANGOLO Wand-u Deckenaußenleuchte, LED 53W 4000K Alu aluminiumgrau"</f>
        <v>4225AG4K25° TRIANGOLO Wand-u Deckenaußenleuchte, LED 53W 4000K Alu aluminiumgrau</v>
      </c>
      <c r="C2432" s="16">
        <v>775</v>
      </c>
      <c r="D2432" s="11">
        <v>333</v>
      </c>
      <c r="E2432" s="7">
        <f t="shared" si="110"/>
        <v>1</v>
      </c>
      <c r="F2432" s="22" t="str">
        <f>IF(ISERROR(VLOOKUP($A2432,#REF!,3,0)),"x",VLOOKUP($A2432,#REF!,3,FALSE))</f>
        <v>x</v>
      </c>
      <c r="G2432" s="9">
        <f t="shared" si="111"/>
        <v>1</v>
      </c>
      <c r="H2432" s="13">
        <f t="shared" si="112"/>
        <v>775</v>
      </c>
    </row>
    <row r="2433" spans="1:8" x14ac:dyDescent="0.25">
      <c r="A2433" s="2" t="str">
        <f>"TR-50WW6BAT"</f>
        <v>TR-50WW6BAT</v>
      </c>
      <c r="B2433" s="2" t="str">
        <f>"4225GR3KBAT TRIANGOLO Wand-u Deckenaußenleuchte, LED 53W 3000K Alu graphitgrau"</f>
        <v>4225GR3KBAT TRIANGOLO Wand-u Deckenaußenleuchte, LED 53W 3000K Alu graphitgrau</v>
      </c>
      <c r="C2433" s="16">
        <v>775</v>
      </c>
      <c r="D2433" s="11">
        <v>333</v>
      </c>
      <c r="E2433" s="7">
        <f t="shared" si="110"/>
        <v>1</v>
      </c>
      <c r="F2433" s="22" t="str">
        <f>IF(ISERROR(VLOOKUP($A2433,#REF!,3,0)),"x",VLOOKUP($A2433,#REF!,3,FALSE))</f>
        <v>x</v>
      </c>
      <c r="G2433" s="9">
        <f t="shared" si="111"/>
        <v>1</v>
      </c>
      <c r="H2433" s="13">
        <f t="shared" si="112"/>
        <v>775</v>
      </c>
    </row>
    <row r="2434" spans="1:8" x14ac:dyDescent="0.25">
      <c r="A2434" s="2" t="str">
        <f>"TR-50WW6F"</f>
        <v>TR-50WW6F</v>
      </c>
      <c r="B2434" s="2" t="str">
        <f>"4225GR3K TRIANGOLO Wand-u Deckenaußenleuchte, LED 53W 3000K Alu graphitgrau "</f>
        <v xml:space="preserve">4225GR3K TRIANGOLO Wand-u Deckenaußenleuchte, LED 53W 3000K Alu graphitgrau </v>
      </c>
      <c r="C2434" s="16">
        <v>775</v>
      </c>
      <c r="D2434" s="11">
        <v>333</v>
      </c>
      <c r="E2434" s="7">
        <f t="shared" ref="E2434:E2495" si="113">G2434</f>
        <v>1</v>
      </c>
      <c r="F2434" s="22" t="str">
        <f>IF(ISERROR(VLOOKUP($A2434,#REF!,3,0)),"x",VLOOKUP($A2434,#REF!,3,FALSE))</f>
        <v>x</v>
      </c>
      <c r="G2434" s="9">
        <f t="shared" si="111"/>
        <v>1</v>
      </c>
      <c r="H2434" s="13">
        <f t="shared" si="112"/>
        <v>775</v>
      </c>
    </row>
    <row r="2435" spans="1:8" x14ac:dyDescent="0.25">
      <c r="A2435" s="2" t="str">
        <f>"TR-50WW6S"</f>
        <v>TR-50WW6S</v>
      </c>
      <c r="B2435" s="2" t="str">
        <f>"4225GR3K25° TRIANGOLO Wand-u Deckenaußenleuchte, LED 53W 3000K Alu graphitgrau"</f>
        <v>4225GR3K25° TRIANGOLO Wand-u Deckenaußenleuchte, LED 53W 3000K Alu graphitgrau</v>
      </c>
      <c r="C2435" s="16">
        <v>775</v>
      </c>
      <c r="D2435" s="11">
        <v>333</v>
      </c>
      <c r="E2435" s="7">
        <f t="shared" si="113"/>
        <v>1</v>
      </c>
      <c r="F2435" s="22" t="str">
        <f>IF(ISERROR(VLOOKUP($A2435,#REF!,3,0)),"x",VLOOKUP($A2435,#REF!,3,FALSE))</f>
        <v>x</v>
      </c>
      <c r="G2435" s="9">
        <f t="shared" ref="G2435:G2496" si="114">IF(C2435&lt;F2435,1,IF(C2435&gt;F2435,-1,0))</f>
        <v>1</v>
      </c>
      <c r="H2435" s="13">
        <f t="shared" si="112"/>
        <v>775</v>
      </c>
    </row>
    <row r="2436" spans="1:8" x14ac:dyDescent="0.25">
      <c r="A2436" s="2" t="str">
        <f>"TR-50WW7BAT"</f>
        <v>TR-50WW7BAT</v>
      </c>
      <c r="B2436" s="2" t="str">
        <f>"4225AG3KBAT TRIANGOLO Wand-u Deckenaußenleuchte, LED 53W 3000K Alu aluminiumgrau"</f>
        <v>4225AG3KBAT TRIANGOLO Wand-u Deckenaußenleuchte, LED 53W 3000K Alu aluminiumgrau</v>
      </c>
      <c r="C2436" s="16">
        <v>775</v>
      </c>
      <c r="D2436" s="11">
        <v>333</v>
      </c>
      <c r="E2436" s="7">
        <f t="shared" si="113"/>
        <v>1</v>
      </c>
      <c r="F2436" s="22" t="str">
        <f>IF(ISERROR(VLOOKUP($A2436,#REF!,3,0)),"x",VLOOKUP($A2436,#REF!,3,FALSE))</f>
        <v>x</v>
      </c>
      <c r="G2436" s="9">
        <f t="shared" si="114"/>
        <v>1</v>
      </c>
      <c r="H2436" s="13">
        <f t="shared" si="112"/>
        <v>775</v>
      </c>
    </row>
    <row r="2437" spans="1:8" x14ac:dyDescent="0.25">
      <c r="A2437" s="2" t="str">
        <f>"TR-50WW7F"</f>
        <v>TR-50WW7F</v>
      </c>
      <c r="B2437" s="2" t="str">
        <f>"4225AG3K TRIANGOLO Wand-u Deckenaußenleuchte, LED 53W 3000K Alu aluminiumgrau"</f>
        <v>4225AG3K TRIANGOLO Wand-u Deckenaußenleuchte, LED 53W 3000K Alu aluminiumgrau</v>
      </c>
      <c r="C2437" s="16">
        <v>775</v>
      </c>
      <c r="D2437" s="11">
        <v>333</v>
      </c>
      <c r="E2437" s="7">
        <f t="shared" si="113"/>
        <v>1</v>
      </c>
      <c r="F2437" s="22" t="str">
        <f>IF(ISERROR(VLOOKUP($A2437,#REF!,3,0)),"x",VLOOKUP($A2437,#REF!,3,FALSE))</f>
        <v>x</v>
      </c>
      <c r="G2437" s="9">
        <f t="shared" si="114"/>
        <v>1</v>
      </c>
      <c r="H2437" s="13">
        <f t="shared" ref="H2437:H2498" si="115">IF(F2437="x",C2437,F2437)</f>
        <v>775</v>
      </c>
    </row>
    <row r="2438" spans="1:8" x14ac:dyDescent="0.25">
      <c r="A2438" s="2" t="str">
        <f>"TR-50WW7S"</f>
        <v>TR-50WW7S</v>
      </c>
      <c r="B2438" s="2" t="str">
        <f>"4225AG3K25° TRIANGOLO Wand-u Deckenaußenleuchte, LED 53W 3000K Alu aluminiumgrau"</f>
        <v>4225AG3K25° TRIANGOLO Wand-u Deckenaußenleuchte, LED 53W 3000K Alu aluminiumgrau</v>
      </c>
      <c r="C2438" s="16">
        <v>775</v>
      </c>
      <c r="D2438" s="11">
        <v>333</v>
      </c>
      <c r="E2438" s="7">
        <f t="shared" si="113"/>
        <v>1</v>
      </c>
      <c r="F2438" s="22" t="str">
        <f>IF(ISERROR(VLOOKUP($A2438,#REF!,3,0)),"x",VLOOKUP($A2438,#REF!,3,FALSE))</f>
        <v>x</v>
      </c>
      <c r="G2438" s="9">
        <f t="shared" si="114"/>
        <v>1</v>
      </c>
      <c r="H2438" s="13">
        <f t="shared" si="115"/>
        <v>775</v>
      </c>
    </row>
    <row r="2439" spans="1:8" x14ac:dyDescent="0.25">
      <c r="A2439" s="2" t="str">
        <f>"TRG-060"</f>
        <v>TRG-060</v>
      </c>
      <c r="B2439" s="2" t="str">
        <f>"Elektronischer Trafo 60 VA"</f>
        <v>Elektronischer Trafo 60 VA</v>
      </c>
      <c r="C2439" s="16">
        <v>11.75</v>
      </c>
      <c r="D2439" s="11">
        <v>376</v>
      </c>
      <c r="E2439" s="7">
        <f t="shared" si="113"/>
        <v>1</v>
      </c>
      <c r="F2439" s="22" t="str">
        <f>IF(ISERROR(VLOOKUP($A2439,#REF!,3,0)),"x",VLOOKUP($A2439,#REF!,3,FALSE))</f>
        <v>x</v>
      </c>
      <c r="G2439" s="9">
        <f t="shared" si="114"/>
        <v>1</v>
      </c>
      <c r="H2439" s="13">
        <f t="shared" si="115"/>
        <v>11.75</v>
      </c>
    </row>
    <row r="2440" spans="1:8" x14ac:dyDescent="0.25">
      <c r="A2440" s="2" t="str">
        <f>"TRG-105"</f>
        <v>TRG-105</v>
      </c>
      <c r="B2440" s="2" t="str">
        <f>"Elektronischer Trafo 105 VA"</f>
        <v>Elektronischer Trafo 105 VA</v>
      </c>
      <c r="C2440" s="16">
        <v>16</v>
      </c>
      <c r="D2440" s="11">
        <v>376</v>
      </c>
      <c r="E2440" s="7">
        <f t="shared" si="113"/>
        <v>1</v>
      </c>
      <c r="F2440" s="22" t="str">
        <f>IF(ISERROR(VLOOKUP($A2440,#REF!,3,0)),"x",VLOOKUP($A2440,#REF!,3,FALSE))</f>
        <v>x</v>
      </c>
      <c r="G2440" s="9">
        <f t="shared" si="114"/>
        <v>1</v>
      </c>
      <c r="H2440" s="13">
        <f t="shared" si="115"/>
        <v>16</v>
      </c>
    </row>
    <row r="2441" spans="1:8" x14ac:dyDescent="0.25">
      <c r="A2441" s="2" t="str">
        <f>"TRL-10W350MA"</f>
        <v>TRL-10W350MA</v>
      </c>
      <c r="B2441" s="2" t="str">
        <f>"Konstantstrom Netzteil für LED's, 10W, 350 mA 127303TC"</f>
        <v>Konstantstrom Netzteil für LED's, 10W, 350 mA 127303TC</v>
      </c>
      <c r="C2441" s="16">
        <v>8.8000000000000007</v>
      </c>
      <c r="D2441" s="11">
        <v>370</v>
      </c>
      <c r="E2441" s="7">
        <f t="shared" si="113"/>
        <v>1</v>
      </c>
      <c r="F2441" s="22" t="str">
        <f>IF(ISERROR(VLOOKUP($A2441,#REF!,3,0)),"x",VLOOKUP($A2441,#REF!,3,FALSE))</f>
        <v>x</v>
      </c>
      <c r="G2441" s="9">
        <f t="shared" si="114"/>
        <v>1</v>
      </c>
      <c r="H2441" s="13">
        <f t="shared" si="115"/>
        <v>8.8000000000000007</v>
      </c>
    </row>
    <row r="2442" spans="1:8" x14ac:dyDescent="0.25">
      <c r="A2442" s="2" t="str">
        <f>"TRL-13W24SL"</f>
        <v>TRL-13W24SL</v>
      </c>
      <c r="B2442" s="2" t="str">
        <f>"Elektronisches Netzteil für LED´s, 13W, 24V"</f>
        <v>Elektronisches Netzteil für LED´s, 13W, 24V</v>
      </c>
      <c r="C2442" s="16">
        <v>26.75</v>
      </c>
      <c r="D2442" s="11">
        <v>373</v>
      </c>
      <c r="E2442" s="7">
        <f t="shared" si="113"/>
        <v>1</v>
      </c>
      <c r="F2442" s="22" t="str">
        <f>IF(ISERROR(VLOOKUP($A2442,#REF!,3,0)),"x",VLOOKUP($A2442,#REF!,3,FALSE))</f>
        <v>x</v>
      </c>
      <c r="G2442" s="9">
        <f t="shared" si="114"/>
        <v>1</v>
      </c>
      <c r="H2442" s="13">
        <f t="shared" si="115"/>
        <v>26.75</v>
      </c>
    </row>
    <row r="2443" spans="1:8" x14ac:dyDescent="0.25">
      <c r="A2443" s="2" t="str">
        <f>"TRL-150W24IP"</f>
        <v>TRL-150W24IP</v>
      </c>
      <c r="B2443" s="2" t="str">
        <f>"Hochleistungs-EVG für LED, 150W, 24V, IP67 122511"</f>
        <v>Hochleistungs-EVG für LED, 150W, 24V, IP67 122511</v>
      </c>
      <c r="C2443" s="16">
        <v>232.5</v>
      </c>
      <c r="D2443" s="11">
        <v>374</v>
      </c>
      <c r="E2443" s="7">
        <f t="shared" si="113"/>
        <v>1</v>
      </c>
      <c r="F2443" s="22" t="str">
        <f>IF(ISERROR(VLOOKUP($A2443,#REF!,3,0)),"x",VLOOKUP($A2443,#REF!,3,FALSE))</f>
        <v>x</v>
      </c>
      <c r="G2443" s="9">
        <f t="shared" si="114"/>
        <v>1</v>
      </c>
      <c r="H2443" s="13">
        <f t="shared" si="115"/>
        <v>232.5</v>
      </c>
    </row>
    <row r="2444" spans="1:8" x14ac:dyDescent="0.25">
      <c r="A2444" s="2" t="str">
        <f>"TRL-15W350P"</f>
        <v>TRL-15W350P</v>
      </c>
      <c r="B2444" s="2" t="str">
        <f>"LED Netzteil CertaDrive 15W 350mA 42V 230V"</f>
        <v>LED Netzteil CertaDrive 15W 350mA 42V 230V</v>
      </c>
      <c r="C2444" s="16">
        <v>14.5</v>
      </c>
      <c r="D2444" s="11">
        <v>370</v>
      </c>
      <c r="E2444" s="7">
        <f t="shared" si="113"/>
        <v>1</v>
      </c>
      <c r="F2444" s="22" t="str">
        <f>IF(ISERROR(VLOOKUP($A2444,#REF!,3,0)),"x",VLOOKUP($A2444,#REF!,3,FALSE))</f>
        <v>x</v>
      </c>
      <c r="G2444" s="9">
        <f t="shared" si="114"/>
        <v>1</v>
      </c>
      <c r="H2444" s="13">
        <f t="shared" si="115"/>
        <v>14.5</v>
      </c>
    </row>
    <row r="2445" spans="1:8" x14ac:dyDescent="0.25">
      <c r="A2445" s="2" t="str">
        <f>"TRL-17W350D"</f>
        <v>TRL-17W350D</v>
      </c>
      <c r="B2445" s="2" t="str">
        <f>"Multi Vorschaltgerät für LED, 17-32W, 350-750mA, 24V 122260"</f>
        <v>Multi Vorschaltgerät für LED, 17-32W, 350-750mA, 24V 122260</v>
      </c>
      <c r="C2445" s="16">
        <v>60.75</v>
      </c>
      <c r="D2445" s="11">
        <v>372</v>
      </c>
      <c r="E2445" s="7">
        <f t="shared" si="113"/>
        <v>1</v>
      </c>
      <c r="F2445" s="22" t="str">
        <f>IF(ISERROR(VLOOKUP($A2445,#REF!,3,0)),"x",VLOOKUP($A2445,#REF!,3,FALSE))</f>
        <v>x</v>
      </c>
      <c r="G2445" s="9">
        <f t="shared" si="114"/>
        <v>1</v>
      </c>
      <c r="H2445" s="13">
        <f t="shared" si="115"/>
        <v>60.75</v>
      </c>
    </row>
    <row r="2446" spans="1:8" x14ac:dyDescent="0.25">
      <c r="A2446" s="2" t="str">
        <f>"TRL-20W24"</f>
        <v>TRL-20W24</v>
      </c>
      <c r="B2446" s="2" t="str">
        <f>"Elektronisches Vorschaltgerät für LED's, 20W, 24V IP20"</f>
        <v>Elektronisches Vorschaltgerät für LED's, 20W, 24V IP20</v>
      </c>
      <c r="C2446" s="16">
        <v>30</v>
      </c>
      <c r="D2446" s="11">
        <v>373</v>
      </c>
      <c r="E2446" s="7">
        <f t="shared" si="113"/>
        <v>1</v>
      </c>
      <c r="F2446" s="22" t="str">
        <f>IF(ISERROR(VLOOKUP($A2446,#REF!,3,0)),"x",VLOOKUP($A2446,#REF!,3,FALSE))</f>
        <v>x</v>
      </c>
      <c r="G2446" s="9">
        <f t="shared" si="114"/>
        <v>1</v>
      </c>
      <c r="H2446" s="13">
        <f t="shared" si="115"/>
        <v>30</v>
      </c>
    </row>
    <row r="2447" spans="1:8" x14ac:dyDescent="0.25">
      <c r="A2447" s="2" t="str">
        <f>"TRL-20W24D"</f>
        <v>TRL-20W24D</v>
      </c>
      <c r="B2447" s="2" t="str">
        <f>"Elektronisches Vorschaltgerät für LED's, 20W, dimmbar, 24V IP20 122314"</f>
        <v>Elektronisches Vorschaltgerät für LED's, 20W, dimmbar, 24V IP20 122314</v>
      </c>
      <c r="C2447" s="16">
        <v>49</v>
      </c>
      <c r="D2447" s="11">
        <v>373</v>
      </c>
      <c r="E2447" s="7">
        <f t="shared" si="113"/>
        <v>1</v>
      </c>
      <c r="F2447" s="22" t="str">
        <f>IF(ISERROR(VLOOKUP($A2447,#REF!,3,0)),"x",VLOOKUP($A2447,#REF!,3,FALSE))</f>
        <v>x</v>
      </c>
      <c r="G2447" s="9">
        <f t="shared" si="114"/>
        <v>1</v>
      </c>
      <c r="H2447" s="13">
        <f t="shared" si="115"/>
        <v>49</v>
      </c>
    </row>
    <row r="2448" spans="1:8" x14ac:dyDescent="0.25">
      <c r="A2448" s="2" t="str">
        <f>"TRL-20W700-FLEXC SR ADV"</f>
        <v>TRL-20W700-FLEXC SR ADV</v>
      </c>
      <c r="B2448" s="2" t="str">
        <f>"LED Netzteil 20W 350,500,700mA mit Zugentlastung"</f>
        <v>LED Netzteil 20W 350,500,700mA mit Zugentlastung</v>
      </c>
      <c r="C2448" s="16">
        <v>15.5</v>
      </c>
      <c r="D2448" s="11">
        <v>370</v>
      </c>
      <c r="E2448" s="7">
        <f t="shared" si="113"/>
        <v>1</v>
      </c>
      <c r="F2448" s="22" t="str">
        <f>IF(ISERROR(VLOOKUP($A2448,#REF!,3,0)),"x",VLOOKUP($A2448,#REF!,3,FALSE))</f>
        <v>x</v>
      </c>
      <c r="G2448" s="9">
        <f t="shared" si="114"/>
        <v>1</v>
      </c>
      <c r="H2448" s="13">
        <f t="shared" si="115"/>
        <v>15.5</v>
      </c>
    </row>
    <row r="2449" spans="1:8" x14ac:dyDescent="0.25">
      <c r="A2449" s="2" t="str">
        <f>"TRL-250W24CG"</f>
        <v>TRL-250W24CG</v>
      </c>
      <c r="B2449" s="2" t="str">
        <f>"Konstantspannung LED Treiber, 250W, 24V"</f>
        <v>Konstantspannung LED Treiber, 250W, 24V</v>
      </c>
      <c r="C2449" s="16">
        <v>71.5</v>
      </c>
      <c r="D2449" s="11">
        <v>373</v>
      </c>
      <c r="E2449" s="7">
        <f t="shared" si="113"/>
        <v>1</v>
      </c>
      <c r="F2449" s="22" t="str">
        <f>IF(ISERROR(VLOOKUP($A2449,#REF!,3,0)),"x",VLOOKUP($A2449,#REF!,3,FALSE))</f>
        <v>x</v>
      </c>
      <c r="G2449" s="9">
        <f t="shared" si="114"/>
        <v>1</v>
      </c>
      <c r="H2449" s="13">
        <f t="shared" si="115"/>
        <v>71.5</v>
      </c>
    </row>
    <row r="2450" spans="1:8" x14ac:dyDescent="0.25">
      <c r="A2450" s="2" t="str">
        <f>"TRL-30W24CG"</f>
        <v>TRL-30W24CG</v>
      </c>
      <c r="B2450" s="2" t="str">
        <f>"Konstantspannung LED Treiber, 30W, 24V, "</f>
        <v xml:space="preserve">Konstantspannung LED Treiber, 30W, 24V, </v>
      </c>
      <c r="C2450" s="16">
        <v>25.25</v>
      </c>
      <c r="D2450" s="11">
        <v>373</v>
      </c>
      <c r="E2450" s="7">
        <f t="shared" si="113"/>
        <v>1</v>
      </c>
      <c r="F2450" s="22" t="str">
        <f>IF(ISERROR(VLOOKUP($A2450,#REF!,3,0)),"x",VLOOKUP($A2450,#REF!,3,FALSE))</f>
        <v>x</v>
      </c>
      <c r="G2450" s="9">
        <f t="shared" si="114"/>
        <v>1</v>
      </c>
      <c r="H2450" s="13">
        <f t="shared" si="115"/>
        <v>25.25</v>
      </c>
    </row>
    <row r="2451" spans="1:8" x14ac:dyDescent="0.25">
      <c r="A2451" s="2" t="str">
        <f>"TRL-30W700"</f>
        <v>TRL-30W700</v>
      </c>
      <c r="B2451" s="2" t="str">
        <f>"LED Netzteil CertaDrive 30W 700mA 42V 230V"</f>
        <v>LED Netzteil CertaDrive 30W 700mA 42V 230V</v>
      </c>
      <c r="C2451" s="16">
        <v>17.5</v>
      </c>
      <c r="D2451" s="11">
        <v>370</v>
      </c>
      <c r="E2451" s="7">
        <f t="shared" si="113"/>
        <v>1</v>
      </c>
      <c r="F2451" s="22" t="str">
        <f>IF(ISERROR(VLOOKUP($A2451,#REF!,3,0)),"x",VLOOKUP($A2451,#REF!,3,FALSE))</f>
        <v>x</v>
      </c>
      <c r="G2451" s="9">
        <f t="shared" si="114"/>
        <v>1</v>
      </c>
      <c r="H2451" s="13">
        <f t="shared" si="115"/>
        <v>17.5</v>
      </c>
    </row>
    <row r="2452" spans="1:8" x14ac:dyDescent="0.25">
      <c r="A2452" s="2" t="str">
        <f>"TRL-44W1050"</f>
        <v>TRL-44W1050</v>
      </c>
      <c r="B2452" s="2" t="str">
        <f>"Philips LED Netzteil CertaDrive 44W, 1050mA, 42V/230V"</f>
        <v>Philips LED Netzteil CertaDrive 44W, 1050mA, 42V/230V</v>
      </c>
      <c r="C2452" s="16">
        <v>18.75</v>
      </c>
      <c r="D2452" s="11">
        <v>371</v>
      </c>
      <c r="E2452" s="7">
        <f t="shared" si="113"/>
        <v>1</v>
      </c>
      <c r="F2452" s="22" t="str">
        <f>IF(ISERROR(VLOOKUP($A2452,#REF!,3,0)),"x",VLOOKUP($A2452,#REF!,3,FALSE))</f>
        <v>x</v>
      </c>
      <c r="G2452" s="9">
        <f t="shared" si="114"/>
        <v>1</v>
      </c>
      <c r="H2452" s="13">
        <f t="shared" si="115"/>
        <v>18.75</v>
      </c>
    </row>
    <row r="2453" spans="1:8" x14ac:dyDescent="0.25">
      <c r="A2453" s="2" t="str">
        <f>"TRL-4W350U"</f>
        <v>TRL-4W350U</v>
      </c>
      <c r="B2453" s="2" t="str">
        <f>"Elektronisches Vorschaltgerät für LED's, 4W, 350mA,weiß 122596"</f>
        <v>Elektronisches Vorschaltgerät für LED's, 4W, 350mA,weiß 122596</v>
      </c>
      <c r="C2453" s="16">
        <v>18.5</v>
      </c>
      <c r="D2453" s="11">
        <v>370</v>
      </c>
      <c r="E2453" s="7">
        <f t="shared" si="113"/>
        <v>1</v>
      </c>
      <c r="F2453" s="22" t="str">
        <f>IF(ISERROR(VLOOKUP($A2453,#REF!,3,0)),"x",VLOOKUP($A2453,#REF!,3,FALSE))</f>
        <v>x</v>
      </c>
      <c r="G2453" s="9">
        <f t="shared" si="114"/>
        <v>1</v>
      </c>
      <c r="H2453" s="13">
        <f t="shared" si="115"/>
        <v>18.5</v>
      </c>
    </row>
    <row r="2454" spans="1:8" x14ac:dyDescent="0.25">
      <c r="A2454" s="2" t="str">
        <f>"TRL-6W350H"</f>
        <v>TRL-6W350H</v>
      </c>
      <c r="B2454" s="2" t="str">
        <f>"Elektronisches Vorschaltgerät für LED's, 6/8W, 350mA, weiß 141132"</f>
        <v>Elektronisches Vorschaltgerät für LED's, 6/8W, 350mA, weiß 141132</v>
      </c>
      <c r="C2454" s="16">
        <v>20.25</v>
      </c>
      <c r="D2454" s="11">
        <v>370</v>
      </c>
      <c r="E2454" s="7">
        <f t="shared" si="113"/>
        <v>1</v>
      </c>
      <c r="F2454" s="22" t="str">
        <f>IF(ISERROR(VLOOKUP($A2454,#REF!,3,0)),"x",VLOOKUP($A2454,#REF!,3,FALSE))</f>
        <v>x</v>
      </c>
      <c r="G2454" s="9">
        <f t="shared" si="114"/>
        <v>1</v>
      </c>
      <c r="H2454" s="13">
        <f t="shared" si="115"/>
        <v>20.25</v>
      </c>
    </row>
    <row r="2455" spans="1:8" x14ac:dyDescent="0.25">
      <c r="A2455" s="2" t="str">
        <f>"TRL-70W24IP"</f>
        <v>TRL-70W24IP</v>
      </c>
      <c r="B2455" s="2" t="str">
        <f>"Elektronisches Vorschaltgerät für LED's, 70W, IP67 122479"</f>
        <v>Elektronisches Vorschaltgerät für LED's, 70W, IP67 122479</v>
      </c>
      <c r="C2455" s="16">
        <v>118.25</v>
      </c>
      <c r="D2455" s="11">
        <v>374</v>
      </c>
      <c r="E2455" s="7">
        <f t="shared" si="113"/>
        <v>1</v>
      </c>
      <c r="F2455" s="22" t="str">
        <f>IF(ISERROR(VLOOKUP($A2455,#REF!,3,0)),"x",VLOOKUP($A2455,#REF!,3,FALSE))</f>
        <v>x</v>
      </c>
      <c r="G2455" s="9">
        <f t="shared" si="114"/>
        <v>1</v>
      </c>
      <c r="H2455" s="13">
        <f t="shared" si="115"/>
        <v>118.25</v>
      </c>
    </row>
    <row r="2456" spans="1:8" x14ac:dyDescent="0.25">
      <c r="A2456" s="2" t="str">
        <f>"TRL-8W24IPN"</f>
        <v>TRL-8W24IPN</v>
      </c>
      <c r="B2456" s="2" t="str">
        <f>"Elektronisches Vorschaltgerät für Power LED's, 8W, 24V, schw 127703"</f>
        <v>Elektronisches Vorschaltgerät für Power LED's, 8W, 24V, schw 127703</v>
      </c>
      <c r="C2456" s="16">
        <v>35.5</v>
      </c>
      <c r="D2456" s="11">
        <v>293</v>
      </c>
      <c r="E2456" s="7">
        <f t="shared" si="113"/>
        <v>1</v>
      </c>
      <c r="F2456" s="22" t="str">
        <f>IF(ISERROR(VLOOKUP($A2456,#REF!,3,0)),"x",VLOOKUP($A2456,#REF!,3,FALSE))</f>
        <v>x</v>
      </c>
      <c r="G2456" s="9">
        <f t="shared" si="114"/>
        <v>1</v>
      </c>
      <c r="H2456" s="13">
        <f t="shared" si="115"/>
        <v>35.5</v>
      </c>
    </row>
    <row r="2457" spans="1:8" x14ac:dyDescent="0.25">
      <c r="A2457" s="2" t="str">
        <f>"TRL-LCU150W48V"</f>
        <v>TRL-LCU150W48V</v>
      </c>
      <c r="B2457" s="2" t="str">
        <f>"LED Netzteil 48V, 150W mit Zugentlastung"</f>
        <v>LED Netzteil 48V, 150W mit Zugentlastung</v>
      </c>
      <c r="C2457" s="16">
        <v>150</v>
      </c>
      <c r="D2457" s="11">
        <v>97</v>
      </c>
      <c r="E2457" s="7">
        <f t="shared" si="113"/>
        <v>1</v>
      </c>
      <c r="F2457" s="22" t="str">
        <f>IF(ISERROR(VLOOKUP($A2457,#REF!,3,0)),"x",VLOOKUP($A2457,#REF!,3,FALSE))</f>
        <v>x</v>
      </c>
      <c r="G2457" s="9">
        <f t="shared" si="114"/>
        <v>1</v>
      </c>
      <c r="H2457" s="13">
        <f t="shared" si="115"/>
        <v>150</v>
      </c>
    </row>
    <row r="2458" spans="1:8" x14ac:dyDescent="0.25">
      <c r="A2458" s="2" t="str">
        <f>"TRL-LCU150W48VDD"</f>
        <v>TRL-LCU150W48VDD</v>
      </c>
      <c r="B2458" s="2" t="str">
        <f>"LED Netzteil 48V, 150W, DALI, mit Zugentlastung"</f>
        <v>LED Netzteil 48V, 150W, DALI, mit Zugentlastung</v>
      </c>
      <c r="C2458" s="16">
        <v>180</v>
      </c>
      <c r="D2458" s="11">
        <v>97</v>
      </c>
      <c r="E2458" s="7">
        <f t="shared" si="113"/>
        <v>1</v>
      </c>
      <c r="F2458" s="22" t="str">
        <f>IF(ISERROR(VLOOKUP($A2458,#REF!,3,0)),"x",VLOOKUP($A2458,#REF!,3,FALSE))</f>
        <v>x</v>
      </c>
      <c r="G2458" s="9">
        <f t="shared" si="114"/>
        <v>1</v>
      </c>
      <c r="H2458" s="13">
        <f t="shared" si="115"/>
        <v>180</v>
      </c>
    </row>
    <row r="2459" spans="1:8" x14ac:dyDescent="0.25">
      <c r="A2459" s="2" t="str">
        <f>"TRL-LCU75W48V"</f>
        <v>TRL-LCU75W48V</v>
      </c>
      <c r="B2459" s="2" t="str">
        <f>"LED Netzteil 48V, 75W mit Zugentlastung"</f>
        <v>LED Netzteil 48V, 75W mit Zugentlastung</v>
      </c>
      <c r="C2459" s="16">
        <v>114.5</v>
      </c>
      <c r="D2459" s="11">
        <v>97</v>
      </c>
      <c r="E2459" s="7">
        <f t="shared" si="113"/>
        <v>1</v>
      </c>
      <c r="F2459" s="22" t="str">
        <f>IF(ISERROR(VLOOKUP($A2459,#REF!,3,0)),"x",VLOOKUP($A2459,#REF!,3,FALSE))</f>
        <v>x</v>
      </c>
      <c r="G2459" s="9">
        <f t="shared" si="114"/>
        <v>1</v>
      </c>
      <c r="H2459" s="13">
        <f t="shared" si="115"/>
        <v>114.5</v>
      </c>
    </row>
    <row r="2460" spans="1:8" x14ac:dyDescent="0.25">
      <c r="A2460" s="2" t="str">
        <f>"TRL-LCU75W48VDD"</f>
        <v>TRL-LCU75W48VDD</v>
      </c>
      <c r="B2460" s="2" t="str">
        <f>"LED Netzteil 48V, 75W, DALI mit Zugentlastung"</f>
        <v>LED Netzteil 48V, 75W, DALI mit Zugentlastung</v>
      </c>
      <c r="C2460" s="16">
        <v>142.5</v>
      </c>
      <c r="D2460" s="11">
        <v>97</v>
      </c>
      <c r="E2460" s="7">
        <f t="shared" si="113"/>
        <v>1</v>
      </c>
      <c r="F2460" s="22" t="str">
        <f>IF(ISERROR(VLOOKUP($A2460,#REF!,3,0)),"x",VLOOKUP($A2460,#REF!,3,FALSE))</f>
        <v>x</v>
      </c>
      <c r="G2460" s="9">
        <f t="shared" si="114"/>
        <v>1</v>
      </c>
      <c r="H2460" s="13">
        <f t="shared" si="115"/>
        <v>142.5</v>
      </c>
    </row>
    <row r="2461" spans="1:8" x14ac:dyDescent="0.25">
      <c r="A2461" s="2" t="str">
        <f>"TRL-OTDIM"</f>
        <v>TRL-OTDIM</v>
      </c>
      <c r="B2461" s="2" t="str">
        <f>"Optotronic OT Dim, 10-24V, 120W"</f>
        <v>Optotronic OT Dim, 10-24V, 120W</v>
      </c>
      <c r="C2461" s="16">
        <v>68.25</v>
      </c>
      <c r="D2461" s="11">
        <v>374</v>
      </c>
      <c r="E2461" s="7">
        <f t="shared" si="113"/>
        <v>1</v>
      </c>
      <c r="F2461" s="22" t="str">
        <f>IF(ISERROR(VLOOKUP($A2461,#REF!,3,0)),"x",VLOOKUP($A2461,#REF!,3,FALSE))</f>
        <v>x</v>
      </c>
      <c r="G2461" s="9">
        <f t="shared" si="114"/>
        <v>1</v>
      </c>
      <c r="H2461" s="13">
        <f t="shared" si="115"/>
        <v>68.25</v>
      </c>
    </row>
    <row r="2462" spans="1:8" x14ac:dyDescent="0.25">
      <c r="A2462" s="2" t="str">
        <f>"TRL-OTI/DALI25/220/700"</f>
        <v>TRL-OTI/DALI25/220/700</v>
      </c>
      <c r="B2462" s="2" t="str">
        <f>"Optotronic OTi DALI 25/220-240/700LT2"</f>
        <v>Optotronic OTi DALI 25/220-240/700LT2</v>
      </c>
      <c r="C2462" s="16">
        <v>54.75</v>
      </c>
      <c r="D2462" s="11">
        <v>372</v>
      </c>
      <c r="E2462" s="7">
        <f t="shared" si="113"/>
        <v>1</v>
      </c>
      <c r="F2462" s="22" t="str">
        <f>IF(ISERROR(VLOOKUP($A2462,#REF!,3,0)),"x",VLOOKUP($A2462,#REF!,3,FALSE))</f>
        <v>x</v>
      </c>
      <c r="G2462" s="9">
        <f t="shared" si="114"/>
        <v>1</v>
      </c>
      <c r="H2462" s="13">
        <f t="shared" si="115"/>
        <v>54.75</v>
      </c>
    </row>
    <row r="2463" spans="1:8" x14ac:dyDescent="0.25">
      <c r="A2463" s="2" t="str">
        <f>"TRL-OTIDALI12-48V240W"</f>
        <v>TRL-OTIDALI12-48V240W</v>
      </c>
      <c r="B2463" s="2" t="str">
        <f>"Osram,  OTI DALI Dim 1-4 CH, D, 12-48V, 240W"</f>
        <v>Osram,  OTI DALI Dim 1-4 CH, D, 12-48V, 240W</v>
      </c>
      <c r="C2463" s="16">
        <v>88.75</v>
      </c>
      <c r="D2463" s="11">
        <v>374</v>
      </c>
      <c r="E2463" s="7">
        <f t="shared" si="113"/>
        <v>1</v>
      </c>
      <c r="F2463" s="22" t="str">
        <f>IF(ISERROR(VLOOKUP($A2463,#REF!,3,0)),"x",VLOOKUP($A2463,#REF!,3,FALSE))</f>
        <v>x</v>
      </c>
      <c r="G2463" s="9">
        <f t="shared" si="114"/>
        <v>1</v>
      </c>
      <c r="H2463" s="13">
        <f t="shared" si="115"/>
        <v>88.75</v>
      </c>
    </row>
    <row r="2464" spans="1:8" x14ac:dyDescent="0.25">
      <c r="A2464" s="2" t="str">
        <f>"TRLC-200W24"</f>
        <v>TRLC-200W24</v>
      </c>
      <c r="B2464" s="2" t="str">
        <f>"Elektronisches Netzteil für LED, LC 200W 24V SC SNC"</f>
        <v>Elektronisches Netzteil für LED, LC 200W 24V SC SNC</v>
      </c>
      <c r="C2464" s="16">
        <v>85</v>
      </c>
      <c r="D2464" s="11">
        <v>373</v>
      </c>
      <c r="E2464" s="7">
        <f t="shared" si="113"/>
        <v>1</v>
      </c>
      <c r="F2464" s="22" t="str">
        <f>IF(ISERROR(VLOOKUP($A2464,#REF!,3,0)),"x",VLOOKUP($A2464,#REF!,3,FALSE))</f>
        <v>x</v>
      </c>
      <c r="G2464" s="9">
        <f t="shared" si="114"/>
        <v>1</v>
      </c>
      <c r="H2464" s="13">
        <f t="shared" si="115"/>
        <v>85</v>
      </c>
    </row>
    <row r="2465" spans="1:8" x14ac:dyDescent="0.25">
      <c r="A2465" s="2" t="str">
        <f>"TRLC-35W24"</f>
        <v>TRLC-35W24</v>
      </c>
      <c r="B2465" s="2" t="str">
        <f>"Elektronisches Netzteil für LED, LC 35W 24V SC SNC"</f>
        <v>Elektronisches Netzteil für LED, LC 35W 24V SC SNC</v>
      </c>
      <c r="C2465" s="16">
        <v>25.5</v>
      </c>
      <c r="D2465" s="11">
        <v>373</v>
      </c>
      <c r="E2465" s="7">
        <f t="shared" si="113"/>
        <v>1</v>
      </c>
      <c r="F2465" s="22" t="str">
        <f>IF(ISERROR(VLOOKUP($A2465,#REF!,3,0)),"x",VLOOKUP($A2465,#REF!,3,FALSE))</f>
        <v>x</v>
      </c>
      <c r="G2465" s="9">
        <f t="shared" si="114"/>
        <v>1</v>
      </c>
      <c r="H2465" s="13">
        <f t="shared" si="115"/>
        <v>25.5</v>
      </c>
    </row>
    <row r="2466" spans="1:8" x14ac:dyDescent="0.25">
      <c r="A2466" s="2" t="str">
        <f>"TRLC-60W24"</f>
        <v>TRLC-60W24</v>
      </c>
      <c r="B2466" s="2" t="str">
        <f>"Elektronisches Netzteil für LED, LC 60W 24V SC SNC"</f>
        <v>Elektronisches Netzteil für LED, LC 60W 24V SC SNC</v>
      </c>
      <c r="C2466" s="16">
        <v>37.5</v>
      </c>
      <c r="D2466" s="11">
        <v>373</v>
      </c>
      <c r="E2466" s="7">
        <f t="shared" si="113"/>
        <v>1</v>
      </c>
      <c r="F2466" s="22" t="str">
        <f>IF(ISERROR(VLOOKUP($A2466,#REF!,3,0)),"x",VLOOKUP($A2466,#REF!,3,FALSE))</f>
        <v>x</v>
      </c>
      <c r="G2466" s="9">
        <f t="shared" si="114"/>
        <v>1</v>
      </c>
      <c r="H2466" s="13">
        <f t="shared" si="115"/>
        <v>37.5</v>
      </c>
    </row>
    <row r="2467" spans="1:8" x14ac:dyDescent="0.25">
      <c r="A2467" s="2" t="str">
        <f>"TRLM-20W24DD"</f>
        <v>TRLM-20W24DD</v>
      </c>
      <c r="B2467" s="2" t="str">
        <f>"Multi-Konstantstrom Netzteil, 20W 24V DALI PWM linear/AM"</f>
        <v>Multi-Konstantstrom Netzteil, 20W 24V DALI PWM linear/AM</v>
      </c>
      <c r="C2467" s="16">
        <v>56.5</v>
      </c>
      <c r="D2467" s="11">
        <v>372</v>
      </c>
      <c r="E2467" s="7">
        <f t="shared" si="113"/>
        <v>1</v>
      </c>
      <c r="F2467" s="22" t="str">
        <f>IF(ISERROR(VLOOKUP($A2467,#REF!,3,0)),"x",VLOOKUP($A2467,#REF!,3,FALSE))</f>
        <v>x</v>
      </c>
      <c r="G2467" s="9">
        <f t="shared" si="114"/>
        <v>1</v>
      </c>
      <c r="H2467" s="13">
        <f t="shared" si="115"/>
        <v>56.5</v>
      </c>
    </row>
    <row r="2468" spans="1:8" x14ac:dyDescent="0.25">
      <c r="A2468" s="2" t="str">
        <f>"TRLMN-32WDD"</f>
        <v>TRLMN-32WDD</v>
      </c>
      <c r="B2468" s="2" t="str">
        <f>"Electronic multi-watt ballast dimmable for LEDs"</f>
        <v>Electronic multi-watt ballast dimmable for LEDs</v>
      </c>
      <c r="C2468" s="16">
        <v>66.5</v>
      </c>
      <c r="D2468" s="11">
        <v>372</v>
      </c>
      <c r="E2468" s="7">
        <f t="shared" si="113"/>
        <v>1</v>
      </c>
      <c r="F2468" s="22" t="str">
        <f>IF(ISERROR(VLOOKUP($A2468,#REF!,3,0)),"x",VLOOKUP($A2468,#REF!,3,FALSE))</f>
        <v>x</v>
      </c>
      <c r="G2468" s="9">
        <f t="shared" si="114"/>
        <v>1</v>
      </c>
      <c r="H2468" s="13">
        <f t="shared" si="115"/>
        <v>66.5</v>
      </c>
    </row>
    <row r="2469" spans="1:8" x14ac:dyDescent="0.25">
      <c r="A2469" s="2" t="str">
        <f>"TRLN-150W24"</f>
        <v>TRLN-150W24</v>
      </c>
      <c r="B2469" s="2" t="str">
        <f>"Elektronisches Vorschaltgerät für LED's, 150W, 24V"</f>
        <v>Elektronisches Vorschaltgerät für LED's, 150W, 24V</v>
      </c>
      <c r="C2469" s="16">
        <v>151</v>
      </c>
      <c r="D2469" s="11">
        <v>373</v>
      </c>
      <c r="E2469" s="7">
        <f t="shared" si="113"/>
        <v>1</v>
      </c>
      <c r="F2469" s="22" t="str">
        <f>IF(ISERROR(VLOOKUP($A2469,#REF!,3,0)),"x",VLOOKUP($A2469,#REF!,3,FALSE))</f>
        <v>x</v>
      </c>
      <c r="G2469" s="9">
        <f t="shared" si="114"/>
        <v>1</v>
      </c>
      <c r="H2469" s="13">
        <f t="shared" si="115"/>
        <v>151</v>
      </c>
    </row>
    <row r="2470" spans="1:8" x14ac:dyDescent="0.25">
      <c r="A2470" s="2" t="str">
        <f>"TRLN-50W24"</f>
        <v>TRLN-50W24</v>
      </c>
      <c r="B2470" s="2" t="str">
        <f>"Elektronisches Vorschaltgerät für LED's, 50W, 24V"</f>
        <v>Elektronisches Vorschaltgerät für LED's, 50W, 24V</v>
      </c>
      <c r="C2470" s="16">
        <v>80</v>
      </c>
      <c r="D2470" s="11">
        <v>373</v>
      </c>
      <c r="E2470" s="7">
        <f t="shared" si="113"/>
        <v>1</v>
      </c>
      <c r="F2470" s="22" t="str">
        <f>IF(ISERROR(VLOOKUP($A2470,#REF!,3,0)),"x",VLOOKUP($A2470,#REF!,3,FALSE))</f>
        <v>x</v>
      </c>
      <c r="G2470" s="9">
        <f t="shared" si="114"/>
        <v>1</v>
      </c>
      <c r="H2470" s="13">
        <f t="shared" si="115"/>
        <v>80</v>
      </c>
    </row>
    <row r="2471" spans="1:8" x14ac:dyDescent="0.25">
      <c r="A2471" s="2" t="str">
        <f>"TRLN-70W24"</f>
        <v>TRLN-70W24</v>
      </c>
      <c r="B2471" s="2" t="str">
        <f>"Elektronisches Vorschaltgerät für LED's, 70W, 24V"</f>
        <v>Elektronisches Vorschaltgerät für LED's, 70W, 24V</v>
      </c>
      <c r="C2471" s="16">
        <v>102.5</v>
      </c>
      <c r="D2471" s="11">
        <v>373</v>
      </c>
      <c r="E2471" s="7">
        <f t="shared" si="113"/>
        <v>1</v>
      </c>
      <c r="F2471" s="22" t="str">
        <f>IF(ISERROR(VLOOKUP($A2471,#REF!,3,0)),"x",VLOOKUP($A2471,#REF!,3,FALSE))</f>
        <v>x</v>
      </c>
      <c r="G2471" s="9">
        <f t="shared" si="114"/>
        <v>1</v>
      </c>
      <c r="H2471" s="13">
        <f t="shared" si="115"/>
        <v>102.5</v>
      </c>
    </row>
    <row r="2472" spans="1:8" x14ac:dyDescent="0.25">
      <c r="A2472" s="2" t="str">
        <f>"TRMR-010"</f>
        <v>TRMR-010</v>
      </c>
      <c r="B2472" s="2" t="str">
        <f>"Tridonic LCBU BASIC Niedervolt Trafo für LED 3-10W, 12V"</f>
        <v>Tridonic LCBU BASIC Niedervolt Trafo für LED 3-10W, 12V</v>
      </c>
      <c r="C2472" s="16">
        <v>21.5</v>
      </c>
      <c r="D2472" s="11">
        <v>374</v>
      </c>
      <c r="E2472" s="7">
        <f t="shared" si="113"/>
        <v>1</v>
      </c>
      <c r="F2472" s="22" t="str">
        <f>IF(ISERROR(VLOOKUP($A2472,#REF!,3,0)),"x",VLOOKUP($A2472,#REF!,3,FALSE))</f>
        <v>x</v>
      </c>
      <c r="G2472" s="9">
        <f t="shared" si="114"/>
        <v>1</v>
      </c>
      <c r="H2472" s="13">
        <f t="shared" si="115"/>
        <v>21.5</v>
      </c>
    </row>
    <row r="2473" spans="1:8" x14ac:dyDescent="0.25">
      <c r="A2473" s="2" t="str">
        <f>"TRMR-070"</f>
        <v>TRMR-070</v>
      </c>
      <c r="B2473" s="2" t="str">
        <f>"Niedervolt Trafo für LED und Halogenlampen, 1-70W, 12V"</f>
        <v>Niedervolt Trafo für LED und Halogenlampen, 1-70W, 12V</v>
      </c>
      <c r="C2473" s="16">
        <v>28.25</v>
      </c>
      <c r="D2473" s="11">
        <v>374</v>
      </c>
      <c r="E2473" s="7">
        <f t="shared" si="113"/>
        <v>1</v>
      </c>
      <c r="F2473" s="22" t="str">
        <f>IF(ISERROR(VLOOKUP($A2473,#REF!,3,0)),"x",VLOOKUP($A2473,#REF!,3,FALSE))</f>
        <v>x</v>
      </c>
      <c r="G2473" s="9">
        <f t="shared" si="114"/>
        <v>1</v>
      </c>
      <c r="H2473" s="13">
        <f t="shared" si="115"/>
        <v>28.25</v>
      </c>
    </row>
    <row r="2474" spans="1:8" x14ac:dyDescent="0.25">
      <c r="A2474" s="2" t="str">
        <f>"TRN-34NW6F"</f>
        <v>TRN-34NW6F</v>
      </c>
      <c r="B2474" s="2" t="str">
        <f>"4229GR4K TRIANGOLO Wand-u Deckenaußenleuchte LED 34,5W Notlicht, Alu graphitgrau"</f>
        <v>4229GR4K TRIANGOLO Wand-u Deckenaußenleuchte LED 34,5W Notlicht, Alu graphitgrau</v>
      </c>
      <c r="C2474" s="16">
        <v>938</v>
      </c>
      <c r="D2474" s="11">
        <v>333</v>
      </c>
      <c r="E2474" s="7">
        <f t="shared" si="113"/>
        <v>1</v>
      </c>
      <c r="F2474" s="22" t="str">
        <f>IF(ISERROR(VLOOKUP($A2474,#REF!,3,0)),"x",VLOOKUP($A2474,#REF!,3,FALSE))</f>
        <v>x</v>
      </c>
      <c r="G2474" s="9">
        <f t="shared" si="114"/>
        <v>1</v>
      </c>
      <c r="H2474" s="13">
        <f t="shared" si="115"/>
        <v>938</v>
      </c>
    </row>
    <row r="2475" spans="1:8" x14ac:dyDescent="0.25">
      <c r="A2475" s="2" t="str">
        <f>"TRN-34NW7F"</f>
        <v>TRN-34NW7F</v>
      </c>
      <c r="B2475" s="2" t="str">
        <f>"4229AG4K TRIANGOLO Wand-u Deckenaußenleuchte, LED 34,5W Notlicht, aluminiumgrau"</f>
        <v>4229AG4K TRIANGOLO Wand-u Deckenaußenleuchte, LED 34,5W Notlicht, aluminiumgrau</v>
      </c>
      <c r="C2475" s="16">
        <v>938</v>
      </c>
      <c r="D2475" s="11">
        <v>333</v>
      </c>
      <c r="E2475" s="7">
        <f t="shared" si="113"/>
        <v>1</v>
      </c>
      <c r="F2475" s="22" t="str">
        <f>IF(ISERROR(VLOOKUP($A2475,#REF!,3,0)),"x",VLOOKUP($A2475,#REF!,3,FALSE))</f>
        <v>x</v>
      </c>
      <c r="G2475" s="9">
        <f t="shared" si="114"/>
        <v>1</v>
      </c>
      <c r="H2475" s="13">
        <f t="shared" si="115"/>
        <v>938</v>
      </c>
    </row>
    <row r="2476" spans="1:8" x14ac:dyDescent="0.25">
      <c r="A2476" s="2" t="str">
        <f>"TRN-34WW6F"</f>
        <v>TRN-34WW6F</v>
      </c>
      <c r="B2476" s="2" t="str">
        <f>"4229GR3K TRIANGOLO Wand-u Deckenaußenleuchte, LED 34,5W Notlicht graphitgrau"</f>
        <v>4229GR3K TRIANGOLO Wand-u Deckenaußenleuchte, LED 34,5W Notlicht graphitgrau</v>
      </c>
      <c r="C2476" s="16">
        <v>938</v>
      </c>
      <c r="D2476" s="11">
        <v>333</v>
      </c>
      <c r="E2476" s="7">
        <f t="shared" si="113"/>
        <v>1</v>
      </c>
      <c r="F2476" s="22" t="str">
        <f>IF(ISERROR(VLOOKUP($A2476,#REF!,3,0)),"x",VLOOKUP($A2476,#REF!,3,FALSE))</f>
        <v>x</v>
      </c>
      <c r="G2476" s="9">
        <f t="shared" si="114"/>
        <v>1</v>
      </c>
      <c r="H2476" s="13">
        <f t="shared" si="115"/>
        <v>938</v>
      </c>
    </row>
    <row r="2477" spans="1:8" x14ac:dyDescent="0.25">
      <c r="A2477" s="2" t="str">
        <f>"TRN-34WW7F"</f>
        <v>TRN-34WW7F</v>
      </c>
      <c r="B2477" s="2" t="str">
        <f>"4229AG3K TRIANGOLO Wand-u Deckenaußenleuchte, LED 34,5W Notlicht, aluminiumgrau"</f>
        <v>4229AG3K TRIANGOLO Wand-u Deckenaußenleuchte, LED 34,5W Notlicht, aluminiumgrau</v>
      </c>
      <c r="C2477" s="16">
        <v>938</v>
      </c>
      <c r="D2477" s="11">
        <v>333</v>
      </c>
      <c r="E2477" s="7">
        <f t="shared" si="113"/>
        <v>1</v>
      </c>
      <c r="F2477" s="22" t="str">
        <f>IF(ISERROR(VLOOKUP($A2477,#REF!,3,0)),"x",VLOOKUP($A2477,#REF!,3,FALSE))</f>
        <v>x</v>
      </c>
      <c r="G2477" s="9">
        <f t="shared" si="114"/>
        <v>1</v>
      </c>
      <c r="H2477" s="13">
        <f t="shared" si="115"/>
        <v>938</v>
      </c>
    </row>
    <row r="2478" spans="1:8" x14ac:dyDescent="0.25">
      <c r="A2478" s="2" t="str">
        <f>"TRR-050"</f>
        <v>TRR-050</v>
      </c>
      <c r="B2478" s="2" t="str">
        <f>"NV-Trafo, rund 47x18mm, 50VA, 1 Eingang, 1 Ausgang, dimmbar"</f>
        <v>NV-Trafo, rund 47x18mm, 50VA, 1 Eingang, 1 Ausgang, dimmbar</v>
      </c>
      <c r="C2478" s="16">
        <v>25</v>
      </c>
      <c r="D2478" s="11">
        <v>376</v>
      </c>
      <c r="E2478" s="7">
        <f t="shared" si="113"/>
        <v>1</v>
      </c>
      <c r="F2478" s="22" t="str">
        <f>IF(ISERROR(VLOOKUP($A2478,#REF!,3,0)),"x",VLOOKUP($A2478,#REF!,3,FALSE))</f>
        <v>x</v>
      </c>
      <c r="G2478" s="9">
        <f t="shared" si="114"/>
        <v>1</v>
      </c>
      <c r="H2478" s="13">
        <f t="shared" si="115"/>
        <v>25</v>
      </c>
    </row>
    <row r="2479" spans="1:8" x14ac:dyDescent="0.25">
      <c r="A2479" s="2" t="str">
        <f>"TRZ-105"</f>
        <v>TRZ-105</v>
      </c>
      <c r="B2479" s="2" t="str">
        <f>"Elektronischer Trafo 20-105 VA, 50/60 Hz., VDE, MM"</f>
        <v>Elektronischer Trafo 20-105 VA, 50/60 Hz., VDE, MM</v>
      </c>
      <c r="C2479" s="16">
        <v>20</v>
      </c>
      <c r="D2479" s="11">
        <v>376</v>
      </c>
      <c r="E2479" s="7">
        <f t="shared" si="113"/>
        <v>1</v>
      </c>
      <c r="F2479" s="22" t="str">
        <f>IF(ISERROR(VLOOKUP($A2479,#REF!,3,0)),"x",VLOOKUP($A2479,#REF!,3,FALSE))</f>
        <v>x</v>
      </c>
      <c r="G2479" s="9">
        <f t="shared" si="114"/>
        <v>1</v>
      </c>
      <c r="H2479" s="13">
        <f t="shared" si="115"/>
        <v>20</v>
      </c>
    </row>
    <row r="2480" spans="1:8" x14ac:dyDescent="0.25">
      <c r="A2480" s="2" t="str">
        <f>"UAL-100WWNW1"</f>
        <v>UAL-100WWNW1</v>
      </c>
      <c r="B2480" s="2" t="str">
        <f>"UAL Wand- u. Deckenleuchte, LED 95W, 220-240V, CRI80, 3000/4000K, weiß"</f>
        <v>UAL Wand- u. Deckenleuchte, LED 95W, 220-240V, CRI80, 3000/4000K, weiß</v>
      </c>
      <c r="C2480" s="16">
        <v>1102</v>
      </c>
      <c r="D2480" s="11">
        <v>145</v>
      </c>
      <c r="E2480" s="7">
        <f t="shared" si="113"/>
        <v>1</v>
      </c>
      <c r="F2480" s="22" t="str">
        <f>IF(ISERROR(VLOOKUP($A2480,#REF!,3,0)),"x",VLOOKUP($A2480,#REF!,3,FALSE))</f>
        <v>x</v>
      </c>
      <c r="G2480" s="9">
        <f t="shared" si="114"/>
        <v>1</v>
      </c>
      <c r="H2480" s="13">
        <f t="shared" si="115"/>
        <v>1102</v>
      </c>
    </row>
    <row r="2481" spans="1:8" x14ac:dyDescent="0.25">
      <c r="A2481" s="2" t="str">
        <f>"UAL-100WWNW2"</f>
        <v>UAL-100WWNW2</v>
      </c>
      <c r="B2481" s="2" t="str">
        <f>"UAL Wand- u. Deckenleuchte, LED 95W, 220-240V, CRI80, 3000/4000K, schwarz"</f>
        <v>UAL Wand- u. Deckenleuchte, LED 95W, 220-240V, CRI80, 3000/4000K, schwarz</v>
      </c>
      <c r="C2481" s="16">
        <v>1102</v>
      </c>
      <c r="D2481" s="11">
        <v>145</v>
      </c>
      <c r="E2481" s="7">
        <f t="shared" si="113"/>
        <v>1</v>
      </c>
      <c r="F2481" s="22" t="str">
        <f>IF(ISERROR(VLOOKUP($A2481,#REF!,3,0)),"x",VLOOKUP($A2481,#REF!,3,FALSE))</f>
        <v>x</v>
      </c>
      <c r="G2481" s="9">
        <f t="shared" si="114"/>
        <v>1</v>
      </c>
      <c r="H2481" s="13">
        <f t="shared" si="115"/>
        <v>1102</v>
      </c>
    </row>
    <row r="2482" spans="1:8" x14ac:dyDescent="0.25">
      <c r="A2482" s="2" t="str">
        <f>"UAL-100WWNW31"</f>
        <v>UAL-100WWNW31</v>
      </c>
      <c r="B2482" s="2" t="str">
        <f>"UAL Pendelleuchte, LED 95W, 220-240V, CRI80, 3000/4000K, weiß"</f>
        <v>UAL Pendelleuchte, LED 95W, 220-240V, CRI80, 3000/4000K, weiß</v>
      </c>
      <c r="C2482" s="16">
        <v>1188</v>
      </c>
      <c r="D2482" s="11">
        <v>145</v>
      </c>
      <c r="E2482" s="7">
        <f t="shared" si="113"/>
        <v>1</v>
      </c>
      <c r="F2482" s="22" t="str">
        <f>IF(ISERROR(VLOOKUP($A2482,#REF!,3,0)),"x",VLOOKUP($A2482,#REF!,3,FALSE))</f>
        <v>x</v>
      </c>
      <c r="G2482" s="9">
        <f t="shared" si="114"/>
        <v>1</v>
      </c>
      <c r="H2482" s="13">
        <f t="shared" si="115"/>
        <v>1188</v>
      </c>
    </row>
    <row r="2483" spans="1:8" x14ac:dyDescent="0.25">
      <c r="A2483" s="2" t="str">
        <f>"UAL-100WWNW32"</f>
        <v>UAL-100WWNW32</v>
      </c>
      <c r="B2483" s="2" t="str">
        <f>"UAL Pendelleuchte, LED 95W, 220-240V, CRI80, 3000/4000K, schwarz"</f>
        <v>UAL Pendelleuchte, LED 95W, 220-240V, CRI80, 3000/4000K, schwarz</v>
      </c>
      <c r="C2483" s="16">
        <v>1188</v>
      </c>
      <c r="D2483" s="11">
        <v>145</v>
      </c>
      <c r="E2483" s="7">
        <f t="shared" si="113"/>
        <v>1</v>
      </c>
      <c r="F2483" s="22" t="str">
        <f>IF(ISERROR(VLOOKUP($A2483,#REF!,3,0)),"x",VLOOKUP($A2483,#REF!,3,FALSE))</f>
        <v>x</v>
      </c>
      <c r="G2483" s="9">
        <f t="shared" si="114"/>
        <v>1</v>
      </c>
      <c r="H2483" s="13">
        <f t="shared" si="115"/>
        <v>1188</v>
      </c>
    </row>
    <row r="2484" spans="1:8" x14ac:dyDescent="0.25">
      <c r="A2484" s="2" t="str">
        <f>"UAL-35WWNW1"</f>
        <v>UAL-35WWNW1</v>
      </c>
      <c r="B2484" s="2" t="str">
        <f>"UAL Wand- u. Deckenleuchte, LED 37W, 220-240V, CRI80, 3000/4000K, weiß"</f>
        <v>UAL Wand- u. Deckenleuchte, LED 37W, 220-240V, CRI80, 3000/4000K, weiß</v>
      </c>
      <c r="C2484" s="16">
        <v>354.5</v>
      </c>
      <c r="D2484" s="11">
        <v>145</v>
      </c>
      <c r="E2484" s="7">
        <f t="shared" si="113"/>
        <v>1</v>
      </c>
      <c r="F2484" s="22" t="str">
        <f>IF(ISERROR(VLOOKUP($A2484,#REF!,3,0)),"x",VLOOKUP($A2484,#REF!,3,FALSE))</f>
        <v>x</v>
      </c>
      <c r="G2484" s="9">
        <f t="shared" si="114"/>
        <v>1</v>
      </c>
      <c r="H2484" s="13">
        <f t="shared" si="115"/>
        <v>354.5</v>
      </c>
    </row>
    <row r="2485" spans="1:8" x14ac:dyDescent="0.25">
      <c r="A2485" s="2" t="str">
        <f>"UAL-35WWNW2"</f>
        <v>UAL-35WWNW2</v>
      </c>
      <c r="B2485" s="2" t="str">
        <f>"UAL Wand- u. Deckenleuchte, LED 37W, 220-240V, CRI80, 3000/4000K, schwarz"</f>
        <v>UAL Wand- u. Deckenleuchte, LED 37W, 220-240V, CRI80, 3000/4000K, schwarz</v>
      </c>
      <c r="C2485" s="16">
        <v>354.5</v>
      </c>
      <c r="D2485" s="11">
        <v>145</v>
      </c>
      <c r="E2485" s="7">
        <f t="shared" si="113"/>
        <v>1</v>
      </c>
      <c r="F2485" s="22" t="str">
        <f>IF(ISERROR(VLOOKUP($A2485,#REF!,3,0)),"x",VLOOKUP($A2485,#REF!,3,FALSE))</f>
        <v>x</v>
      </c>
      <c r="G2485" s="9">
        <f t="shared" si="114"/>
        <v>1</v>
      </c>
      <c r="H2485" s="13">
        <f t="shared" si="115"/>
        <v>354.5</v>
      </c>
    </row>
    <row r="2486" spans="1:8" x14ac:dyDescent="0.25">
      <c r="A2486" s="2" t="str">
        <f>"UAL-35WWNW31"</f>
        <v>UAL-35WWNW31</v>
      </c>
      <c r="B2486" s="2" t="str">
        <f>"UAL Pendelleuchte, LED 37W, 220-240V, CRI80, 3000/4000K, weiß"</f>
        <v>UAL Pendelleuchte, LED 37W, 220-240V, CRI80, 3000/4000K, weiß</v>
      </c>
      <c r="C2486" s="16">
        <v>440.25</v>
      </c>
      <c r="D2486" s="11">
        <v>145</v>
      </c>
      <c r="E2486" s="7">
        <f t="shared" si="113"/>
        <v>1</v>
      </c>
      <c r="F2486" s="22" t="str">
        <f>IF(ISERROR(VLOOKUP($A2486,#REF!,3,0)),"x",VLOOKUP($A2486,#REF!,3,FALSE))</f>
        <v>x</v>
      </c>
      <c r="G2486" s="9">
        <f t="shared" si="114"/>
        <v>1</v>
      </c>
      <c r="H2486" s="13">
        <f t="shared" si="115"/>
        <v>440.25</v>
      </c>
    </row>
    <row r="2487" spans="1:8" x14ac:dyDescent="0.25">
      <c r="A2487" s="2" t="str">
        <f>"UAL-35WWNW32"</f>
        <v>UAL-35WWNW32</v>
      </c>
      <c r="B2487" s="2" t="str">
        <f>"UAL Pendelleuchte, LED 37W, 220-240V, CRI80, 3000/4000K, schwarz"</f>
        <v>UAL Pendelleuchte, LED 37W, 220-240V, CRI80, 3000/4000K, schwarz</v>
      </c>
      <c r="C2487" s="16">
        <v>440.25</v>
      </c>
      <c r="D2487" s="11">
        <v>145</v>
      </c>
      <c r="E2487" s="7">
        <f t="shared" si="113"/>
        <v>1</v>
      </c>
      <c r="F2487" s="22" t="str">
        <f>IF(ISERROR(VLOOKUP($A2487,#REF!,3,0)),"x",VLOOKUP($A2487,#REF!,3,FALSE))</f>
        <v>x</v>
      </c>
      <c r="G2487" s="9">
        <f t="shared" si="114"/>
        <v>1</v>
      </c>
      <c r="H2487" s="13">
        <f t="shared" si="115"/>
        <v>440.25</v>
      </c>
    </row>
    <row r="2488" spans="1:8" x14ac:dyDescent="0.25">
      <c r="A2488" s="2" t="str">
        <f>"UAL-49WWNW1"</f>
        <v>UAL-49WWNW1</v>
      </c>
      <c r="B2488" s="2" t="str">
        <f>"UAL Wand- u. Deckenleuchte, LED 48W, 220-240V, CRI80, 3000/4000K, weiß"</f>
        <v>UAL Wand- u. Deckenleuchte, LED 48W, 220-240V, CRI80, 3000/4000K, weiß</v>
      </c>
      <c r="C2488" s="16">
        <v>529</v>
      </c>
      <c r="D2488" s="11">
        <v>145</v>
      </c>
      <c r="E2488" s="7">
        <f t="shared" si="113"/>
        <v>1</v>
      </c>
      <c r="F2488" s="22" t="str">
        <f>IF(ISERROR(VLOOKUP($A2488,#REF!,3,0)),"x",VLOOKUP($A2488,#REF!,3,FALSE))</f>
        <v>x</v>
      </c>
      <c r="G2488" s="9">
        <f t="shared" si="114"/>
        <v>1</v>
      </c>
      <c r="H2488" s="13">
        <f t="shared" si="115"/>
        <v>529</v>
      </c>
    </row>
    <row r="2489" spans="1:8" x14ac:dyDescent="0.25">
      <c r="A2489" s="2" t="str">
        <f>"UAL-49WWNW2"</f>
        <v>UAL-49WWNW2</v>
      </c>
      <c r="B2489" s="2" t="str">
        <f>"UAL Wand- u. Deckenleuchte, LED 48W, 220-240V, CRI80, 3000/4000K, schwarz"</f>
        <v>UAL Wand- u. Deckenleuchte, LED 48W, 220-240V, CRI80, 3000/4000K, schwarz</v>
      </c>
      <c r="C2489" s="16">
        <v>529</v>
      </c>
      <c r="D2489" s="11">
        <v>145</v>
      </c>
      <c r="E2489" s="7">
        <f t="shared" si="113"/>
        <v>1</v>
      </c>
      <c r="F2489" s="22" t="str">
        <f>IF(ISERROR(VLOOKUP($A2489,#REF!,3,0)),"x",VLOOKUP($A2489,#REF!,3,FALSE))</f>
        <v>x</v>
      </c>
      <c r="G2489" s="9">
        <f t="shared" si="114"/>
        <v>1</v>
      </c>
      <c r="H2489" s="13">
        <f t="shared" si="115"/>
        <v>529</v>
      </c>
    </row>
    <row r="2490" spans="1:8" x14ac:dyDescent="0.25">
      <c r="A2490" s="2" t="str">
        <f>"UAL-49WWNW31"</f>
        <v>UAL-49WWNW31</v>
      </c>
      <c r="B2490" s="2" t="str">
        <f>"UAL Pendelleuchte, LED 48W, 220-240V, CRI80, 3000/4000K, weiß"</f>
        <v>UAL Pendelleuchte, LED 48W, 220-240V, CRI80, 3000/4000K, weiß</v>
      </c>
      <c r="C2490" s="16">
        <v>615</v>
      </c>
      <c r="D2490" s="11">
        <v>145</v>
      </c>
      <c r="E2490" s="7">
        <f t="shared" si="113"/>
        <v>1</v>
      </c>
      <c r="F2490" s="22" t="str">
        <f>IF(ISERROR(VLOOKUP($A2490,#REF!,3,0)),"x",VLOOKUP($A2490,#REF!,3,FALSE))</f>
        <v>x</v>
      </c>
      <c r="G2490" s="9">
        <f t="shared" si="114"/>
        <v>1</v>
      </c>
      <c r="H2490" s="13">
        <f t="shared" si="115"/>
        <v>615</v>
      </c>
    </row>
    <row r="2491" spans="1:8" x14ac:dyDescent="0.25">
      <c r="A2491" s="2" t="str">
        <f>"UAL-49WWNW32"</f>
        <v>UAL-49WWNW32</v>
      </c>
      <c r="B2491" s="2" t="str">
        <f>"UAL Pendelleuchte, LED 48W, 220-240V, CRI80, 3000/4000K, schwarz"</f>
        <v>UAL Pendelleuchte, LED 48W, 220-240V, CRI80, 3000/4000K, schwarz</v>
      </c>
      <c r="C2491" s="16">
        <v>615</v>
      </c>
      <c r="D2491" s="11">
        <v>145</v>
      </c>
      <c r="E2491" s="7">
        <f t="shared" si="113"/>
        <v>1</v>
      </c>
      <c r="F2491" s="22" t="str">
        <f>IF(ISERROR(VLOOKUP($A2491,#REF!,3,0)),"x",VLOOKUP($A2491,#REF!,3,FALSE))</f>
        <v>x</v>
      </c>
      <c r="G2491" s="9">
        <f t="shared" si="114"/>
        <v>1</v>
      </c>
      <c r="H2491" s="13">
        <f t="shared" si="115"/>
        <v>615</v>
      </c>
    </row>
    <row r="2492" spans="1:8" x14ac:dyDescent="0.25">
      <c r="A2492" s="2" t="str">
        <f>"UAL-60WWNW1"</f>
        <v>UAL-60WWNW1</v>
      </c>
      <c r="B2492" s="2" t="str">
        <f>"UAL Wand- u. Deckenleuchte, LED 55W, 220-240V, CRI80, 3000/4000K, weiß"</f>
        <v>UAL Wand- u. Deckenleuchte, LED 55W, 220-240V, CRI80, 3000/4000K, weiß</v>
      </c>
      <c r="C2492" s="16">
        <v>758.25</v>
      </c>
      <c r="D2492" s="11">
        <v>145</v>
      </c>
      <c r="E2492" s="7">
        <f t="shared" si="113"/>
        <v>1</v>
      </c>
      <c r="F2492" s="22" t="str">
        <f>IF(ISERROR(VLOOKUP($A2492,#REF!,3,0)),"x",VLOOKUP($A2492,#REF!,3,FALSE))</f>
        <v>x</v>
      </c>
      <c r="G2492" s="9">
        <f t="shared" si="114"/>
        <v>1</v>
      </c>
      <c r="H2492" s="13">
        <f t="shared" si="115"/>
        <v>758.25</v>
      </c>
    </row>
    <row r="2493" spans="1:8" x14ac:dyDescent="0.25">
      <c r="A2493" s="2" t="str">
        <f>"UAL-60WWNW2"</f>
        <v>UAL-60WWNW2</v>
      </c>
      <c r="B2493" s="2" t="str">
        <f>"UAL Wand- u. Deckenleuchte, LED 55W, 220-240V, CRI80, 3000/4000K, schwarz"</f>
        <v>UAL Wand- u. Deckenleuchte, LED 55W, 220-240V, CRI80, 3000/4000K, schwarz</v>
      </c>
      <c r="C2493" s="16">
        <v>758.25</v>
      </c>
      <c r="D2493" s="11">
        <v>145</v>
      </c>
      <c r="E2493" s="7">
        <f t="shared" si="113"/>
        <v>1</v>
      </c>
      <c r="F2493" s="22" t="str">
        <f>IF(ISERROR(VLOOKUP($A2493,#REF!,3,0)),"x",VLOOKUP($A2493,#REF!,3,FALSE))</f>
        <v>x</v>
      </c>
      <c r="G2493" s="9">
        <f t="shared" si="114"/>
        <v>1</v>
      </c>
      <c r="H2493" s="13">
        <f t="shared" si="115"/>
        <v>758.25</v>
      </c>
    </row>
    <row r="2494" spans="1:8" x14ac:dyDescent="0.25">
      <c r="A2494" s="2" t="str">
        <f>"UAL-60WWNW31"</f>
        <v>UAL-60WWNW31</v>
      </c>
      <c r="B2494" s="2" t="str">
        <f>"UAL Pendelleuchte, LED 55W, 220-240V, CRI80, 3000/4000K, weiß"</f>
        <v>UAL Pendelleuchte, LED 55W, 220-240V, CRI80, 3000/4000K, weiß</v>
      </c>
      <c r="C2494" s="16">
        <v>844.25</v>
      </c>
      <c r="D2494" s="11">
        <v>145</v>
      </c>
      <c r="E2494" s="7">
        <f t="shared" si="113"/>
        <v>1</v>
      </c>
      <c r="F2494" s="22" t="str">
        <f>IF(ISERROR(VLOOKUP($A2494,#REF!,3,0)),"x",VLOOKUP($A2494,#REF!,3,FALSE))</f>
        <v>x</v>
      </c>
      <c r="G2494" s="9">
        <f t="shared" si="114"/>
        <v>1</v>
      </c>
      <c r="H2494" s="13">
        <f t="shared" si="115"/>
        <v>844.25</v>
      </c>
    </row>
    <row r="2495" spans="1:8" x14ac:dyDescent="0.25">
      <c r="A2495" s="2" t="str">
        <f>"UAL-60WWNW32"</f>
        <v>UAL-60WWNW32</v>
      </c>
      <c r="B2495" s="2" t="str">
        <f>"UAL Pendelleuchte, LED 55W, 220-240V, CRI80, 3000/4000K, schwarz"</f>
        <v>UAL Pendelleuchte, LED 55W, 220-240V, CRI80, 3000/4000K, schwarz</v>
      </c>
      <c r="C2495" s="16">
        <v>844.25</v>
      </c>
      <c r="D2495" s="11">
        <v>145</v>
      </c>
      <c r="E2495" s="7">
        <f t="shared" si="113"/>
        <v>1</v>
      </c>
      <c r="F2495" s="22" t="str">
        <f>IF(ISERROR(VLOOKUP($A2495,#REF!,3,0)),"x",VLOOKUP($A2495,#REF!,3,FALSE))</f>
        <v>x</v>
      </c>
      <c r="G2495" s="9">
        <f t="shared" si="114"/>
        <v>1</v>
      </c>
      <c r="H2495" s="13">
        <f t="shared" si="115"/>
        <v>844.25</v>
      </c>
    </row>
    <row r="2496" spans="1:8" x14ac:dyDescent="0.25">
      <c r="A2496" s="2" t="str">
        <f>"UCL-18SWNW1TD"</f>
        <v>UCL-18SWNW1TD</v>
      </c>
      <c r="B2496" s="2" t="str">
        <f>"UCL Wand- u. Deckenanbauleuchte, LED 18W, 220-240V, 2700/3200/4000K, weiß"</f>
        <v>UCL Wand- u. Deckenanbauleuchte, LED 18W, 220-240V, 2700/3200/4000K, weiß</v>
      </c>
      <c r="C2496" s="16">
        <v>110</v>
      </c>
      <c r="D2496" s="11">
        <v>147</v>
      </c>
      <c r="E2496" s="7">
        <f t="shared" ref="E2496:E2749" si="116">G2496</f>
        <v>1</v>
      </c>
      <c r="F2496" s="22" t="str">
        <f>IF(ISERROR(VLOOKUP($A2496,#REF!,3,0)),"x",VLOOKUP($A2496,#REF!,3,FALSE))</f>
        <v>x</v>
      </c>
      <c r="G2496" s="9">
        <f t="shared" si="114"/>
        <v>1</v>
      </c>
      <c r="H2496" s="13">
        <f t="shared" si="115"/>
        <v>110</v>
      </c>
    </row>
    <row r="2497" spans="1:8" x14ac:dyDescent="0.25">
      <c r="A2497" s="2" t="str">
        <f>"UCL-18SWNW2-4TD"</f>
        <v>UCL-18SWNW2-4TD</v>
      </c>
      <c r="B2497" s="2" t="str">
        <f>"UCL Wand- u. Deckenanbauleuchte, LED 18W, 220-240V,  2700/3200/4000K, schwarz/go"</f>
        <v>UCL Wand- u. Deckenanbauleuchte, LED 18W, 220-240V,  2700/3200/4000K, schwarz/go</v>
      </c>
      <c r="C2497" s="16">
        <v>110</v>
      </c>
      <c r="D2497" s="11">
        <v>147</v>
      </c>
      <c r="E2497" s="7">
        <f t="shared" si="116"/>
        <v>1</v>
      </c>
      <c r="F2497" s="22" t="str">
        <f>IF(ISERROR(VLOOKUP($A2497,#REF!,3,0)),"x",VLOOKUP($A2497,#REF!,3,FALSE))</f>
        <v>x</v>
      </c>
      <c r="G2497" s="9">
        <f t="shared" ref="G2497:G2560" si="117">IF(C2497&lt;F2497,1,IF(C2497&gt;F2497,-1,0))</f>
        <v>1</v>
      </c>
      <c r="H2497" s="13">
        <f t="shared" si="115"/>
        <v>110</v>
      </c>
    </row>
    <row r="2498" spans="1:8" x14ac:dyDescent="0.25">
      <c r="A2498" s="2" t="str">
        <f>"UCL-18SWNW31TD"</f>
        <v>UCL-18SWNW31TD</v>
      </c>
      <c r="B2498" s="2" t="str">
        <f>"UCL Pendelleuchte, LED 18W, 220-240V, 2700/3200/4000K weiß"</f>
        <v>UCL Pendelleuchte, LED 18W, 220-240V, 2700/3200/4000K weiß</v>
      </c>
      <c r="C2498" s="16">
        <v>132.5</v>
      </c>
      <c r="D2498" s="11">
        <v>147</v>
      </c>
      <c r="E2498" s="7">
        <f t="shared" si="116"/>
        <v>1</v>
      </c>
      <c r="F2498" s="22" t="str">
        <f>IF(ISERROR(VLOOKUP($A2498,#REF!,3,0)),"x",VLOOKUP($A2498,#REF!,3,FALSE))</f>
        <v>x</v>
      </c>
      <c r="G2498" s="9">
        <f t="shared" si="117"/>
        <v>1</v>
      </c>
      <c r="H2498" s="13">
        <f t="shared" si="115"/>
        <v>132.5</v>
      </c>
    </row>
    <row r="2499" spans="1:8" x14ac:dyDescent="0.25">
      <c r="A2499" s="2" t="str">
        <f>"UCL-18SWNW32-4TD"</f>
        <v>UCL-18SWNW32-4TD</v>
      </c>
      <c r="B2499" s="2" t="str">
        <f>"UCL Pendelleuchte, LED 18W, 220-240V, 2700/3200/4000K, schwarz/go"</f>
        <v>UCL Pendelleuchte, LED 18W, 220-240V, 2700/3200/4000K, schwarz/go</v>
      </c>
      <c r="C2499" s="16">
        <v>132.5</v>
      </c>
      <c r="D2499" s="11">
        <v>147</v>
      </c>
      <c r="E2499" s="7">
        <f t="shared" si="116"/>
        <v>1</v>
      </c>
      <c r="F2499" s="22" t="str">
        <f>IF(ISERROR(VLOOKUP($A2499,#REF!,3,0)),"x",VLOOKUP($A2499,#REF!,3,FALSE))</f>
        <v>x</v>
      </c>
      <c r="G2499" s="9">
        <f t="shared" si="117"/>
        <v>1</v>
      </c>
      <c r="H2499" s="13">
        <f t="shared" ref="H2499:H2562" si="118">IF(F2499="x",C2499,F2499)</f>
        <v>132.5</v>
      </c>
    </row>
    <row r="2500" spans="1:8" x14ac:dyDescent="0.25">
      <c r="A2500" s="2" t="str">
        <f>"UCL-25SWNW1TD"</f>
        <v>UCL-25SWNW1TD</v>
      </c>
      <c r="B2500" s="2" t="str">
        <f>"UCL Wand- u. Deckenanbauleuchte, LED 25W, 220-240V, 2700/3200/4000K, weiß"</f>
        <v>UCL Wand- u. Deckenanbauleuchte, LED 25W, 220-240V, 2700/3200/4000K, weiß</v>
      </c>
      <c r="C2500" s="16">
        <v>137.5</v>
      </c>
      <c r="D2500" s="11">
        <v>147</v>
      </c>
      <c r="E2500" s="7">
        <f t="shared" si="116"/>
        <v>1</v>
      </c>
      <c r="F2500" s="22" t="str">
        <f>IF(ISERROR(VLOOKUP($A2500,#REF!,3,0)),"x",VLOOKUP($A2500,#REF!,3,FALSE))</f>
        <v>x</v>
      </c>
      <c r="G2500" s="9">
        <f t="shared" si="117"/>
        <v>1</v>
      </c>
      <c r="H2500" s="13">
        <f t="shared" si="118"/>
        <v>137.5</v>
      </c>
    </row>
    <row r="2501" spans="1:8" x14ac:dyDescent="0.25">
      <c r="A2501" s="2" t="str">
        <f>"UCL-25SWNW2-4TD"</f>
        <v>UCL-25SWNW2-4TD</v>
      </c>
      <c r="B2501" s="2" t="str">
        <f>"UCL Wand- u. Deckenanbauleuchte, LED 25W, 220-240V, 2700/3200/4000K , schwarz/go"</f>
        <v>UCL Wand- u. Deckenanbauleuchte, LED 25W, 220-240V, 2700/3200/4000K , schwarz/go</v>
      </c>
      <c r="C2501" s="16">
        <v>137.5</v>
      </c>
      <c r="D2501" s="11">
        <v>147</v>
      </c>
      <c r="E2501" s="7">
        <f t="shared" si="116"/>
        <v>1</v>
      </c>
      <c r="F2501" s="22" t="str">
        <f>IF(ISERROR(VLOOKUP($A2501,#REF!,3,0)),"x",VLOOKUP($A2501,#REF!,3,FALSE))</f>
        <v>x</v>
      </c>
      <c r="G2501" s="9">
        <f t="shared" si="117"/>
        <v>1</v>
      </c>
      <c r="H2501" s="13">
        <f t="shared" si="118"/>
        <v>137.5</v>
      </c>
    </row>
    <row r="2502" spans="1:8" x14ac:dyDescent="0.25">
      <c r="A2502" s="2" t="str">
        <f>"UCL-25SWNW31TD"</f>
        <v>UCL-25SWNW31TD</v>
      </c>
      <c r="B2502" s="2" t="str">
        <f>"UCL Pendelleuchte, LED 25W, 220-240V,  2700/3200/4000K, weiß"</f>
        <v>UCL Pendelleuchte, LED 25W, 220-240V,  2700/3200/4000K, weiß</v>
      </c>
      <c r="C2502" s="16">
        <v>162.5</v>
      </c>
      <c r="D2502" s="11">
        <v>147</v>
      </c>
      <c r="E2502" s="7">
        <f t="shared" si="116"/>
        <v>1</v>
      </c>
      <c r="F2502" s="22" t="str">
        <f>IF(ISERROR(VLOOKUP($A2502,#REF!,3,0)),"x",VLOOKUP($A2502,#REF!,3,FALSE))</f>
        <v>x</v>
      </c>
      <c r="G2502" s="9">
        <f t="shared" si="117"/>
        <v>1</v>
      </c>
      <c r="H2502" s="13">
        <f t="shared" si="118"/>
        <v>162.5</v>
      </c>
    </row>
    <row r="2503" spans="1:8" x14ac:dyDescent="0.25">
      <c r="A2503" s="2" t="str">
        <f>"UCL-25SWNW32-4TD"</f>
        <v>UCL-25SWNW32-4TD</v>
      </c>
      <c r="B2503" s="2" t="str">
        <f>"UCL Pendelleuchte, LED 25W, 220-240V, 2700/3200/4000K, schwarz/go"</f>
        <v>UCL Pendelleuchte, LED 25W, 220-240V, 2700/3200/4000K, schwarz/go</v>
      </c>
      <c r="C2503" s="16">
        <v>162.5</v>
      </c>
      <c r="D2503" s="11">
        <v>147</v>
      </c>
      <c r="E2503" s="7">
        <f t="shared" si="116"/>
        <v>1</v>
      </c>
      <c r="F2503" s="22" t="str">
        <f>IF(ISERROR(VLOOKUP($A2503,#REF!,3,0)),"x",VLOOKUP($A2503,#REF!,3,FALSE))</f>
        <v>x</v>
      </c>
      <c r="G2503" s="9">
        <f t="shared" si="117"/>
        <v>1</v>
      </c>
      <c r="H2503" s="13">
        <f t="shared" si="118"/>
        <v>162.5</v>
      </c>
    </row>
    <row r="2504" spans="1:8" x14ac:dyDescent="0.25">
      <c r="A2504" s="2" t="str">
        <f>"UDL-13NW1D-2"</f>
        <v>UDL-13NW1D-2</v>
      </c>
      <c r="B2504" s="2" t="str">
        <f>"UDL LED Lichteinsatz, 13W, 4000K, schwarz-weiss"</f>
        <v>UDL LED Lichteinsatz, 13W, 4000K, schwarz-weiss</v>
      </c>
      <c r="C2504" s="16">
        <v>99</v>
      </c>
      <c r="D2504" s="11">
        <v>117</v>
      </c>
      <c r="E2504" s="7">
        <f t="shared" si="116"/>
        <v>1</v>
      </c>
      <c r="F2504" s="22" t="str">
        <f>IF(ISERROR(VLOOKUP($A2504,#REF!,3,0)),"x",VLOOKUP($A2504,#REF!,3,FALSE))</f>
        <v>x</v>
      </c>
      <c r="G2504" s="9">
        <f t="shared" si="117"/>
        <v>1</v>
      </c>
      <c r="H2504" s="13">
        <f t="shared" si="118"/>
        <v>99</v>
      </c>
    </row>
    <row r="2505" spans="1:8" x14ac:dyDescent="0.25">
      <c r="A2505" s="2" t="str">
        <f>"UDL-13NW2D"</f>
        <v>UDL-13NW2D</v>
      </c>
      <c r="B2505" s="2" t="str">
        <f>"UDL LED Lichteinsatz, 13W, 4000K, schwarz"</f>
        <v>UDL LED Lichteinsatz, 13W, 4000K, schwarz</v>
      </c>
      <c r="C2505" s="16">
        <v>99</v>
      </c>
      <c r="D2505" s="11">
        <v>117</v>
      </c>
      <c r="E2505" s="7">
        <f t="shared" si="116"/>
        <v>1</v>
      </c>
      <c r="F2505" s="22" t="str">
        <f>IF(ISERROR(VLOOKUP($A2505,#REF!,3,0)),"x",VLOOKUP($A2505,#REF!,3,FALSE))</f>
        <v>x</v>
      </c>
      <c r="G2505" s="9">
        <f t="shared" si="117"/>
        <v>1</v>
      </c>
      <c r="H2505" s="13">
        <f t="shared" si="118"/>
        <v>99</v>
      </c>
    </row>
    <row r="2506" spans="1:8" x14ac:dyDescent="0.25">
      <c r="A2506" s="2" t="str">
        <f>"UDL-13SW1D-2"</f>
        <v>UDL-13SW1D-2</v>
      </c>
      <c r="B2506" s="2" t="str">
        <f>"UDL LED Lichteinsatz, 13W, 2700K, schwarz-weiss"</f>
        <v>UDL LED Lichteinsatz, 13W, 2700K, schwarz-weiss</v>
      </c>
      <c r="C2506" s="16">
        <v>99</v>
      </c>
      <c r="D2506" s="11">
        <v>117</v>
      </c>
      <c r="E2506" s="7">
        <f t="shared" si="116"/>
        <v>1</v>
      </c>
      <c r="F2506" s="22" t="str">
        <f>IF(ISERROR(VLOOKUP($A2506,#REF!,3,0)),"x",VLOOKUP($A2506,#REF!,3,FALSE))</f>
        <v>x</v>
      </c>
      <c r="G2506" s="9">
        <f t="shared" si="117"/>
        <v>1</v>
      </c>
      <c r="H2506" s="13">
        <f t="shared" si="118"/>
        <v>99</v>
      </c>
    </row>
    <row r="2507" spans="1:8" x14ac:dyDescent="0.25">
      <c r="A2507" s="2" t="str">
        <f>"UDL-13SW2D"</f>
        <v>UDL-13SW2D</v>
      </c>
      <c r="B2507" s="2" t="str">
        <f>"UDL LED Lichteinsatz, 13W, 2700K, schwarz"</f>
        <v>UDL LED Lichteinsatz, 13W, 2700K, schwarz</v>
      </c>
      <c r="C2507" s="16">
        <v>99</v>
      </c>
      <c r="D2507" s="11">
        <v>117</v>
      </c>
      <c r="E2507" s="7">
        <f t="shared" si="116"/>
        <v>1</v>
      </c>
      <c r="F2507" s="22" t="str">
        <f>IF(ISERROR(VLOOKUP($A2507,#REF!,3,0)),"x",VLOOKUP($A2507,#REF!,3,FALSE))</f>
        <v>x</v>
      </c>
      <c r="G2507" s="9">
        <f t="shared" si="117"/>
        <v>1</v>
      </c>
      <c r="H2507" s="13">
        <f t="shared" si="118"/>
        <v>99</v>
      </c>
    </row>
    <row r="2508" spans="1:8" x14ac:dyDescent="0.25">
      <c r="A2508" s="2" t="str">
        <f>"UDL-13WW1D-2"</f>
        <v>UDL-13WW1D-2</v>
      </c>
      <c r="B2508" s="2" t="str">
        <f>"UDL LED Lichteinsatz, 13W, 3000K, schwarz-weiss"</f>
        <v>UDL LED Lichteinsatz, 13W, 3000K, schwarz-weiss</v>
      </c>
      <c r="C2508" s="16">
        <v>99</v>
      </c>
      <c r="D2508" s="11">
        <v>117</v>
      </c>
      <c r="E2508" s="7">
        <f t="shared" si="116"/>
        <v>1</v>
      </c>
      <c r="F2508" s="22" t="str">
        <f>IF(ISERROR(VLOOKUP($A2508,#REF!,3,0)),"x",VLOOKUP($A2508,#REF!,3,FALSE))</f>
        <v>x</v>
      </c>
      <c r="G2508" s="9">
        <f t="shared" si="117"/>
        <v>1</v>
      </c>
      <c r="H2508" s="13">
        <f t="shared" si="118"/>
        <v>99</v>
      </c>
    </row>
    <row r="2509" spans="1:8" x14ac:dyDescent="0.25">
      <c r="A2509" s="2" t="str">
        <f>"UDL-13WW2D"</f>
        <v>UDL-13WW2D</v>
      </c>
      <c r="B2509" s="2" t="str">
        <f>"UDL LED Lichteinsatz, 13W, 3000K, schwarz"</f>
        <v>UDL LED Lichteinsatz, 13W, 3000K, schwarz</v>
      </c>
      <c r="C2509" s="16">
        <v>99</v>
      </c>
      <c r="D2509" s="11">
        <v>117</v>
      </c>
      <c r="E2509" s="7">
        <f t="shared" si="116"/>
        <v>1</v>
      </c>
      <c r="F2509" s="22" t="str">
        <f>IF(ISERROR(VLOOKUP($A2509,#REF!,3,0)),"x",VLOOKUP($A2509,#REF!,3,FALSE))</f>
        <v>x</v>
      </c>
      <c r="G2509" s="9">
        <f t="shared" si="117"/>
        <v>1</v>
      </c>
      <c r="H2509" s="13">
        <f t="shared" si="118"/>
        <v>99</v>
      </c>
    </row>
    <row r="2510" spans="1:8" x14ac:dyDescent="0.25">
      <c r="A2510" s="2" t="str">
        <f>"UDL-25NW1D-2"</f>
        <v>UDL-25NW1D-2</v>
      </c>
      <c r="B2510" s="2" t="str">
        <f>"UDL LED Lichteinsatz, 25W, 4000K, schwarz-weiss"</f>
        <v>UDL LED Lichteinsatz, 25W, 4000K, schwarz-weiss</v>
      </c>
      <c r="C2510" s="16">
        <v>153.75</v>
      </c>
      <c r="D2510" s="11">
        <v>117</v>
      </c>
      <c r="E2510" s="7">
        <f t="shared" si="116"/>
        <v>1</v>
      </c>
      <c r="F2510" s="22" t="str">
        <f>IF(ISERROR(VLOOKUP($A2510,#REF!,3,0)),"x",VLOOKUP($A2510,#REF!,3,FALSE))</f>
        <v>x</v>
      </c>
      <c r="G2510" s="9">
        <f t="shared" si="117"/>
        <v>1</v>
      </c>
      <c r="H2510" s="13">
        <f t="shared" si="118"/>
        <v>153.75</v>
      </c>
    </row>
    <row r="2511" spans="1:8" x14ac:dyDescent="0.25">
      <c r="A2511" s="2" t="str">
        <f>"UDL-25NW2D"</f>
        <v>UDL-25NW2D</v>
      </c>
      <c r="B2511" s="2" t="str">
        <f>"UDL LED Lichteinsatz, 25W, 4000K, schwarz"</f>
        <v>UDL LED Lichteinsatz, 25W, 4000K, schwarz</v>
      </c>
      <c r="C2511" s="16">
        <v>153.75</v>
      </c>
      <c r="D2511" s="11">
        <v>117</v>
      </c>
      <c r="E2511" s="7">
        <f t="shared" si="116"/>
        <v>1</v>
      </c>
      <c r="F2511" s="22" t="str">
        <f>IF(ISERROR(VLOOKUP($A2511,#REF!,3,0)),"x",VLOOKUP($A2511,#REF!,3,FALSE))</f>
        <v>x</v>
      </c>
      <c r="G2511" s="9">
        <f t="shared" si="117"/>
        <v>1</v>
      </c>
      <c r="H2511" s="13">
        <f t="shared" si="118"/>
        <v>153.75</v>
      </c>
    </row>
    <row r="2512" spans="1:8" x14ac:dyDescent="0.25">
      <c r="A2512" s="2" t="str">
        <f>"UDL-25SW1D-2"</f>
        <v>UDL-25SW1D-2</v>
      </c>
      <c r="B2512" s="2" t="str">
        <f>"UDL LED Lichteinsatz, 25W, 2700K, schwarz-weiss"</f>
        <v>UDL LED Lichteinsatz, 25W, 2700K, schwarz-weiss</v>
      </c>
      <c r="C2512" s="16">
        <v>153.75</v>
      </c>
      <c r="D2512" s="11">
        <v>117</v>
      </c>
      <c r="E2512" s="7">
        <f t="shared" si="116"/>
        <v>1</v>
      </c>
      <c r="F2512" s="22" t="str">
        <f>IF(ISERROR(VLOOKUP($A2512,#REF!,3,0)),"x",VLOOKUP($A2512,#REF!,3,FALSE))</f>
        <v>x</v>
      </c>
      <c r="G2512" s="9">
        <f t="shared" si="117"/>
        <v>1</v>
      </c>
      <c r="H2512" s="13">
        <f t="shared" si="118"/>
        <v>153.75</v>
      </c>
    </row>
    <row r="2513" spans="1:8" x14ac:dyDescent="0.25">
      <c r="A2513" s="2" t="str">
        <f>"UDL-25SW2D"</f>
        <v>UDL-25SW2D</v>
      </c>
      <c r="B2513" s="2" t="str">
        <f>"UDL LED Lichteinsatz, 25W, 2700K, schwarz"</f>
        <v>UDL LED Lichteinsatz, 25W, 2700K, schwarz</v>
      </c>
      <c r="C2513" s="16">
        <v>153.75</v>
      </c>
      <c r="D2513" s="11">
        <v>117</v>
      </c>
      <c r="E2513" s="7">
        <f t="shared" si="116"/>
        <v>1</v>
      </c>
      <c r="F2513" s="22" t="str">
        <f>IF(ISERROR(VLOOKUP($A2513,#REF!,3,0)),"x",VLOOKUP($A2513,#REF!,3,FALSE))</f>
        <v>x</v>
      </c>
      <c r="G2513" s="9">
        <f t="shared" si="117"/>
        <v>1</v>
      </c>
      <c r="H2513" s="13">
        <f t="shared" si="118"/>
        <v>153.75</v>
      </c>
    </row>
    <row r="2514" spans="1:8" x14ac:dyDescent="0.25">
      <c r="A2514" s="2" t="str">
        <f>"UDL-25WW1D-2"</f>
        <v>UDL-25WW1D-2</v>
      </c>
      <c r="B2514" s="2" t="str">
        <f>"UDL LED Lichteinsatz, 25W, 3000K, schwarz-weiss"</f>
        <v>UDL LED Lichteinsatz, 25W, 3000K, schwarz-weiss</v>
      </c>
      <c r="C2514" s="16">
        <v>153.75</v>
      </c>
      <c r="D2514" s="11">
        <v>117</v>
      </c>
      <c r="E2514" s="7">
        <f t="shared" si="116"/>
        <v>1</v>
      </c>
      <c r="F2514" s="22" t="str">
        <f>IF(ISERROR(VLOOKUP($A2514,#REF!,3,0)),"x",VLOOKUP($A2514,#REF!,3,FALSE))</f>
        <v>x</v>
      </c>
      <c r="G2514" s="9">
        <f t="shared" si="117"/>
        <v>1</v>
      </c>
      <c r="H2514" s="13">
        <f t="shared" si="118"/>
        <v>153.75</v>
      </c>
    </row>
    <row r="2515" spans="1:8" x14ac:dyDescent="0.25">
      <c r="A2515" s="2" t="str">
        <f>"UDL-25WW2D"</f>
        <v>UDL-25WW2D</v>
      </c>
      <c r="B2515" s="2" t="str">
        <f>"UDL LED Lichteinsatz, 25W, 3000K, schwarz"</f>
        <v>UDL LED Lichteinsatz, 25W, 3000K, schwarz</v>
      </c>
      <c r="C2515" s="16">
        <v>153.75</v>
      </c>
      <c r="D2515" s="11">
        <v>117</v>
      </c>
      <c r="E2515" s="7">
        <f t="shared" si="116"/>
        <v>1</v>
      </c>
      <c r="F2515" s="22" t="str">
        <f>IF(ISERROR(VLOOKUP($A2515,#REF!,3,0)),"x",VLOOKUP($A2515,#REF!,3,FALSE))</f>
        <v>x</v>
      </c>
      <c r="G2515" s="9">
        <f t="shared" si="117"/>
        <v>1</v>
      </c>
      <c r="H2515" s="13">
        <f t="shared" si="118"/>
        <v>153.75</v>
      </c>
    </row>
    <row r="2516" spans="1:8" x14ac:dyDescent="0.25">
      <c r="A2516" s="2" t="str">
        <f>"UDL-6NW1-2"</f>
        <v>UDL-6NW1-2</v>
      </c>
      <c r="B2516" s="2" t="str">
        <f>"UDL LED Lichteinsatz, 6W, 4000K, schwarz-weiss"</f>
        <v>UDL LED Lichteinsatz, 6W, 4000K, schwarz-weiss</v>
      </c>
      <c r="C2516" s="16">
        <v>57.5</v>
      </c>
      <c r="D2516" s="11">
        <v>117</v>
      </c>
      <c r="E2516" s="7">
        <f t="shared" si="116"/>
        <v>1</v>
      </c>
      <c r="F2516" s="22" t="str">
        <f>IF(ISERROR(VLOOKUP($A2516,#REF!,3,0)),"x",VLOOKUP($A2516,#REF!,3,FALSE))</f>
        <v>x</v>
      </c>
      <c r="G2516" s="9">
        <f t="shared" si="117"/>
        <v>1</v>
      </c>
      <c r="H2516" s="13">
        <f t="shared" si="118"/>
        <v>57.5</v>
      </c>
    </row>
    <row r="2517" spans="1:8" x14ac:dyDescent="0.25">
      <c r="A2517" s="2" t="str">
        <f>"UDL-6NW2"</f>
        <v>UDL-6NW2</v>
      </c>
      <c r="B2517" s="2" t="str">
        <f>"UDL LED Lichteinsatz, 6W, 4000K, schwarz"</f>
        <v>UDL LED Lichteinsatz, 6W, 4000K, schwarz</v>
      </c>
      <c r="C2517" s="16">
        <v>57.5</v>
      </c>
      <c r="D2517" s="11">
        <v>117</v>
      </c>
      <c r="E2517" s="7">
        <f t="shared" si="116"/>
        <v>1</v>
      </c>
      <c r="F2517" s="22" t="str">
        <f>IF(ISERROR(VLOOKUP($A2517,#REF!,3,0)),"x",VLOOKUP($A2517,#REF!,3,FALSE))</f>
        <v>x</v>
      </c>
      <c r="G2517" s="9">
        <f t="shared" si="117"/>
        <v>1</v>
      </c>
      <c r="H2517" s="13">
        <f t="shared" si="118"/>
        <v>57.5</v>
      </c>
    </row>
    <row r="2518" spans="1:8" x14ac:dyDescent="0.25">
      <c r="A2518" s="2" t="str">
        <f>"UDL-6SW1-2"</f>
        <v>UDL-6SW1-2</v>
      </c>
      <c r="B2518" s="2" t="str">
        <f>"UDL LED Lichteinsatz, 6W, 2700K, schwarz-weiss"</f>
        <v>UDL LED Lichteinsatz, 6W, 2700K, schwarz-weiss</v>
      </c>
      <c r="C2518" s="16">
        <v>57.5</v>
      </c>
      <c r="D2518" s="11">
        <v>117</v>
      </c>
      <c r="E2518" s="7">
        <f t="shared" si="116"/>
        <v>1</v>
      </c>
      <c r="F2518" s="22" t="str">
        <f>IF(ISERROR(VLOOKUP($A2518,#REF!,3,0)),"x",VLOOKUP($A2518,#REF!,3,FALSE))</f>
        <v>x</v>
      </c>
      <c r="G2518" s="9">
        <f t="shared" si="117"/>
        <v>1</v>
      </c>
      <c r="H2518" s="13">
        <f t="shared" si="118"/>
        <v>57.5</v>
      </c>
    </row>
    <row r="2519" spans="1:8" x14ac:dyDescent="0.25">
      <c r="A2519" s="2" t="str">
        <f>"UDL-6SW2"</f>
        <v>UDL-6SW2</v>
      </c>
      <c r="B2519" s="2" t="str">
        <f>"UDL LED Lichteinsatz, 6W, 2700K, schwarz"</f>
        <v>UDL LED Lichteinsatz, 6W, 2700K, schwarz</v>
      </c>
      <c r="C2519" s="16">
        <v>57.5</v>
      </c>
      <c r="D2519" s="11">
        <v>117</v>
      </c>
      <c r="E2519" s="7">
        <f t="shared" si="116"/>
        <v>1</v>
      </c>
      <c r="F2519" s="22" t="str">
        <f>IF(ISERROR(VLOOKUP($A2519,#REF!,3,0)),"x",VLOOKUP($A2519,#REF!,3,FALSE))</f>
        <v>x</v>
      </c>
      <c r="G2519" s="9">
        <f t="shared" si="117"/>
        <v>1</v>
      </c>
      <c r="H2519" s="13">
        <f t="shared" si="118"/>
        <v>57.5</v>
      </c>
    </row>
    <row r="2520" spans="1:8" x14ac:dyDescent="0.25">
      <c r="A2520" s="2" t="str">
        <f>"UDL-6WW1-2"</f>
        <v>UDL-6WW1-2</v>
      </c>
      <c r="B2520" s="2" t="str">
        <f>"UDL LED Lichteinsatz, 6W, 3000K, schwarz-weiss"</f>
        <v>UDL LED Lichteinsatz, 6W, 3000K, schwarz-weiss</v>
      </c>
      <c r="C2520" s="16">
        <v>57.5</v>
      </c>
      <c r="D2520" s="11">
        <v>117</v>
      </c>
      <c r="E2520" s="7">
        <f t="shared" si="116"/>
        <v>1</v>
      </c>
      <c r="F2520" s="22" t="str">
        <f>IF(ISERROR(VLOOKUP($A2520,#REF!,3,0)),"x",VLOOKUP($A2520,#REF!,3,FALSE))</f>
        <v>x</v>
      </c>
      <c r="G2520" s="9">
        <f t="shared" si="117"/>
        <v>1</v>
      </c>
      <c r="H2520" s="13">
        <f t="shared" si="118"/>
        <v>57.5</v>
      </c>
    </row>
    <row r="2521" spans="1:8" x14ac:dyDescent="0.25">
      <c r="A2521" s="2" t="str">
        <f>"UDL-6WW2"</f>
        <v>UDL-6WW2</v>
      </c>
      <c r="B2521" s="2" t="str">
        <f>"UDL LED Lichteinsatz, 6W, 3000K, schwarz"</f>
        <v>UDL LED Lichteinsatz, 6W, 3000K, schwarz</v>
      </c>
      <c r="C2521" s="16">
        <v>57.5</v>
      </c>
      <c r="D2521" s="11">
        <v>117</v>
      </c>
      <c r="E2521" s="7">
        <f t="shared" si="116"/>
        <v>1</v>
      </c>
      <c r="F2521" s="22" t="str">
        <f>IF(ISERROR(VLOOKUP($A2521,#REF!,3,0)),"x",VLOOKUP($A2521,#REF!,3,FALSE))</f>
        <v>x</v>
      </c>
      <c r="G2521" s="9">
        <f t="shared" si="117"/>
        <v>1</v>
      </c>
      <c r="H2521" s="13">
        <f t="shared" si="118"/>
        <v>57.5</v>
      </c>
    </row>
    <row r="2522" spans="1:8" x14ac:dyDescent="0.25">
      <c r="A2522" s="2" t="str">
        <f>"UMD-30WWNW1-4TD"</f>
        <v>UMD-30WWNW1-4TD</v>
      </c>
      <c r="B2522" s="2" t="str">
        <f>"UMD Wand- u. Deckenleuchte, LED 30W, 220-240V, CRI80, 3000K/4000K, ws/gold"</f>
        <v>UMD Wand- u. Deckenleuchte, LED 30W, 220-240V, CRI80, 3000K/4000K, ws/gold</v>
      </c>
      <c r="C2522" s="16">
        <v>197.5</v>
      </c>
      <c r="D2522" s="11">
        <v>111</v>
      </c>
      <c r="E2522" s="7">
        <f t="shared" si="116"/>
        <v>1</v>
      </c>
      <c r="F2522" s="22" t="str">
        <f>IF(ISERROR(VLOOKUP($A2522,#REF!,3,0)),"x",VLOOKUP($A2522,#REF!,3,FALSE))</f>
        <v>x</v>
      </c>
      <c r="G2522" s="9">
        <f t="shared" si="117"/>
        <v>1</v>
      </c>
      <c r="H2522" s="13">
        <f t="shared" si="118"/>
        <v>197.5</v>
      </c>
    </row>
    <row r="2523" spans="1:8" x14ac:dyDescent="0.25">
      <c r="A2523" s="2" t="str">
        <f>"UMD-30WWNW1TD"</f>
        <v>UMD-30WWNW1TD</v>
      </c>
      <c r="B2523" s="2" t="str">
        <f>"UMD Wand- u. Deckenleuchte, LED 30W, 220-240V, CRI80, 3000K/4000K, weiß"</f>
        <v>UMD Wand- u. Deckenleuchte, LED 30W, 220-240V, CRI80, 3000K/4000K, weiß</v>
      </c>
      <c r="C2523" s="16">
        <v>197.5</v>
      </c>
      <c r="D2523" s="11">
        <v>111</v>
      </c>
      <c r="E2523" s="7">
        <f t="shared" si="116"/>
        <v>1</v>
      </c>
      <c r="F2523" s="22" t="str">
        <f>IF(ISERROR(VLOOKUP($A2523,#REF!,3,0)),"x",VLOOKUP($A2523,#REF!,3,FALSE))</f>
        <v>x</v>
      </c>
      <c r="G2523" s="9">
        <f t="shared" si="117"/>
        <v>1</v>
      </c>
      <c r="H2523" s="13">
        <f t="shared" si="118"/>
        <v>197.5</v>
      </c>
    </row>
    <row r="2524" spans="1:8" x14ac:dyDescent="0.25">
      <c r="A2524" s="2" t="str">
        <f>"UMD-30WWNW2-4TD"</f>
        <v>UMD-30WWNW2-4TD</v>
      </c>
      <c r="B2524" s="2" t="str">
        <f>"UMD Wand- u. Deckenleuchte, LED 30W, 220-240V, CRI80, 3000K/4000K, sw/gold"</f>
        <v>UMD Wand- u. Deckenleuchte, LED 30W, 220-240V, CRI80, 3000K/4000K, sw/gold</v>
      </c>
      <c r="C2524" s="16">
        <v>197.5</v>
      </c>
      <c r="D2524" s="11">
        <v>111</v>
      </c>
      <c r="E2524" s="7">
        <f t="shared" si="116"/>
        <v>1</v>
      </c>
      <c r="F2524" s="22" t="str">
        <f>IF(ISERROR(VLOOKUP($A2524,#REF!,3,0)),"x",VLOOKUP($A2524,#REF!,3,FALSE))</f>
        <v>x</v>
      </c>
      <c r="G2524" s="9">
        <f t="shared" si="117"/>
        <v>1</v>
      </c>
      <c r="H2524" s="13">
        <f t="shared" si="118"/>
        <v>197.5</v>
      </c>
    </row>
    <row r="2525" spans="1:8" x14ac:dyDescent="0.25">
      <c r="A2525" s="2" t="str">
        <f>"UMD-30WWNW31-4TD"</f>
        <v>UMD-30WWNW31-4TD</v>
      </c>
      <c r="B2525" s="2" t="str">
        <f>"UMD Pendelleuchte, LED 30W, 220-240V, CRI80, 3000/4000K, ws/gold"</f>
        <v>UMD Pendelleuchte, LED 30W, 220-240V, CRI80, 3000/4000K, ws/gold</v>
      </c>
      <c r="C2525" s="16">
        <v>222.5</v>
      </c>
      <c r="D2525" s="11">
        <v>111</v>
      </c>
      <c r="E2525" s="7">
        <f t="shared" si="116"/>
        <v>1</v>
      </c>
      <c r="F2525" s="22" t="str">
        <f>IF(ISERROR(VLOOKUP($A2525,#REF!,3,0)),"x",VLOOKUP($A2525,#REF!,3,FALSE))</f>
        <v>x</v>
      </c>
      <c r="G2525" s="9">
        <f t="shared" si="117"/>
        <v>1</v>
      </c>
      <c r="H2525" s="13">
        <f t="shared" si="118"/>
        <v>222.5</v>
      </c>
    </row>
    <row r="2526" spans="1:8" x14ac:dyDescent="0.25">
      <c r="A2526" s="2" t="str">
        <f>"UMD-30WWNW31TD"</f>
        <v>UMD-30WWNW31TD</v>
      </c>
      <c r="B2526" s="2" t="str">
        <f>"UMD Pendelleuchte, LED 30W, 220-240V, CRI80, 3000/4000K, weiß"</f>
        <v>UMD Pendelleuchte, LED 30W, 220-240V, CRI80, 3000/4000K, weiß</v>
      </c>
      <c r="C2526" s="16">
        <v>222.5</v>
      </c>
      <c r="D2526" s="11">
        <v>111</v>
      </c>
      <c r="E2526" s="7">
        <f t="shared" si="116"/>
        <v>1</v>
      </c>
      <c r="F2526" s="22" t="str">
        <f>IF(ISERROR(VLOOKUP($A2526,#REF!,3,0)),"x",VLOOKUP($A2526,#REF!,3,FALSE))</f>
        <v>x</v>
      </c>
      <c r="G2526" s="9">
        <f t="shared" si="117"/>
        <v>1</v>
      </c>
      <c r="H2526" s="13">
        <f t="shared" si="118"/>
        <v>222.5</v>
      </c>
    </row>
    <row r="2527" spans="1:8" x14ac:dyDescent="0.25">
      <c r="A2527" s="2" t="str">
        <f>"UMD-30WWNW32-4TD"</f>
        <v>UMD-30WWNW32-4TD</v>
      </c>
      <c r="B2527" s="2" t="str">
        <f>"UMD Pendelleuchte, LED 30W, 220-240V, CRI80, 3000/4000K, sw/gold"</f>
        <v>UMD Pendelleuchte, LED 30W, 220-240V, CRI80, 3000/4000K, sw/gold</v>
      </c>
      <c r="C2527" s="16">
        <v>222.5</v>
      </c>
      <c r="D2527" s="11">
        <v>111</v>
      </c>
      <c r="E2527" s="7">
        <f t="shared" si="116"/>
        <v>1</v>
      </c>
      <c r="F2527" s="22" t="str">
        <f>IF(ISERROR(VLOOKUP($A2527,#REF!,3,0)),"x",VLOOKUP($A2527,#REF!,3,FALSE))</f>
        <v>x</v>
      </c>
      <c r="G2527" s="9">
        <f t="shared" si="117"/>
        <v>1</v>
      </c>
      <c r="H2527" s="13">
        <f t="shared" si="118"/>
        <v>222.5</v>
      </c>
    </row>
    <row r="2528" spans="1:8" x14ac:dyDescent="0.25">
      <c r="A2528" s="2" t="str">
        <f>"UMD-ER4201"</f>
        <v>UMD-ER4201</v>
      </c>
      <c r="B2528" s="2" t="str">
        <f>"UMD, Einbaurahmen Ø434*65mm, weiß"</f>
        <v>UMD, Einbaurahmen Ø434*65mm, weiß</v>
      </c>
      <c r="C2528" s="16">
        <v>67.5</v>
      </c>
      <c r="D2528" s="11">
        <v>111</v>
      </c>
      <c r="E2528" s="7">
        <f t="shared" si="116"/>
        <v>1</v>
      </c>
      <c r="F2528" s="22" t="str">
        <f>IF(ISERROR(VLOOKUP($A2528,#REF!,3,0)),"x",VLOOKUP($A2528,#REF!,3,FALSE))</f>
        <v>x</v>
      </c>
      <c r="G2528" s="9">
        <f t="shared" si="117"/>
        <v>1</v>
      </c>
      <c r="H2528" s="13">
        <f t="shared" si="118"/>
        <v>67.5</v>
      </c>
    </row>
    <row r="2529" spans="1:8" x14ac:dyDescent="0.25">
      <c r="A2529" s="2" t="str">
        <f>"UOL-100NW1DS"</f>
        <v>UOL-100NW1DS</v>
      </c>
      <c r="B2529" s="2" t="str">
        <f>"UOL Stehleuchte, LED 100W, 4000K, 230V CRI80, UGR&lt;16, IP20, DIM, weiß"</f>
        <v>UOL Stehleuchte, LED 100W, 4000K, 230V CRI80, UGR&lt;16, IP20, DIM, weiß</v>
      </c>
      <c r="C2529" s="16">
        <v>947.5</v>
      </c>
      <c r="D2529" s="11">
        <v>199</v>
      </c>
      <c r="E2529" s="7">
        <f t="shared" si="116"/>
        <v>1</v>
      </c>
      <c r="F2529" s="22" t="str">
        <f>IF(ISERROR(VLOOKUP($A2529,#REF!,3,0)),"x",VLOOKUP($A2529,#REF!,3,FALSE))</f>
        <v>x</v>
      </c>
      <c r="G2529" s="9">
        <f t="shared" si="117"/>
        <v>1</v>
      </c>
      <c r="H2529" s="13">
        <f t="shared" si="118"/>
        <v>947.5</v>
      </c>
    </row>
    <row r="2530" spans="1:8" x14ac:dyDescent="0.25">
      <c r="A2530" s="2" t="str">
        <f>"UOL-100NW2DS"</f>
        <v>UOL-100NW2DS</v>
      </c>
      <c r="B2530" s="2" t="str">
        <f>"UOL Stehleuchte, LED 100W, 4000K, 230V CRI80, UGR&lt;16, IP20, DIM, schwarz"</f>
        <v>UOL Stehleuchte, LED 100W, 4000K, 230V CRI80, UGR&lt;16, IP20, DIM, schwarz</v>
      </c>
      <c r="C2530" s="16">
        <v>947.5</v>
      </c>
      <c r="D2530" s="11">
        <v>199</v>
      </c>
      <c r="E2530" s="7">
        <f t="shared" si="116"/>
        <v>1</v>
      </c>
      <c r="F2530" s="22" t="str">
        <f>IF(ISERROR(VLOOKUP($A2530,#REF!,3,0)),"x",VLOOKUP($A2530,#REF!,3,FALSE))</f>
        <v>x</v>
      </c>
      <c r="G2530" s="9">
        <f t="shared" si="117"/>
        <v>1</v>
      </c>
      <c r="H2530" s="13">
        <f t="shared" si="118"/>
        <v>947.5</v>
      </c>
    </row>
    <row r="2531" spans="1:8" x14ac:dyDescent="0.25">
      <c r="A2531" s="2" t="str">
        <f>"UVC-55B2"</f>
        <v>UVC-55B2</v>
      </c>
      <c r="B2531" s="2" t="str">
        <f>"UV Sterilisationsleuchte, 55W TCL-2G11 360° Lichtverteilung mit Sensor"</f>
        <v>UV Sterilisationsleuchte, 55W TCL-2G11 360° Lichtverteilung mit Sensor</v>
      </c>
      <c r="C2531" s="16">
        <v>300</v>
      </c>
      <c r="D2531" s="11">
        <v>201</v>
      </c>
      <c r="E2531" s="7">
        <f t="shared" si="116"/>
        <v>1</v>
      </c>
      <c r="F2531" s="22" t="str">
        <f>IF(ISERROR(VLOOKUP($A2531,#REF!,3,0)),"x",VLOOKUP($A2531,#REF!,3,FALSE))</f>
        <v>x</v>
      </c>
      <c r="G2531" s="9">
        <f t="shared" si="117"/>
        <v>1</v>
      </c>
      <c r="H2531" s="13">
        <f t="shared" si="118"/>
        <v>300</v>
      </c>
    </row>
    <row r="2532" spans="1:8" x14ac:dyDescent="0.25">
      <c r="A2532" s="2" t="str">
        <f>"UWAL-12WWSCW1TD"</f>
        <v>UWAL-12WWSCW1TD</v>
      </c>
      <c r="B2532" s="2" t="str">
        <f>"UWAL, Wandaußenleuchte, LED 12W, 200-240V AC, CRI80, 3000K-5700K, weiß"</f>
        <v>UWAL, Wandaußenleuchte, LED 12W, 200-240V AC, CRI80, 3000K-5700K, weiß</v>
      </c>
      <c r="C2532" s="16">
        <v>107.5</v>
      </c>
      <c r="D2532" s="11">
        <v>255</v>
      </c>
      <c r="E2532" s="7">
        <f t="shared" si="116"/>
        <v>1</v>
      </c>
      <c r="F2532" s="22" t="str">
        <f>IF(ISERROR(VLOOKUP($A2532,#REF!,3,0)),"x",VLOOKUP($A2532,#REF!,3,FALSE))</f>
        <v>x</v>
      </c>
      <c r="G2532" s="9">
        <f t="shared" si="117"/>
        <v>1</v>
      </c>
      <c r="H2532" s="13">
        <f t="shared" si="118"/>
        <v>107.5</v>
      </c>
    </row>
    <row r="2533" spans="1:8" x14ac:dyDescent="0.25">
      <c r="A2533" s="2" t="str">
        <f>"UWAL-12WWSCW2TD"</f>
        <v>UWAL-12WWSCW2TD</v>
      </c>
      <c r="B2533" s="2" t="str">
        <f>"UWAL, Wandaußenleuchte, LED 12W, 200-240V AC, CRI80, 3000K-5700K, schwarz"</f>
        <v>UWAL, Wandaußenleuchte, LED 12W, 200-240V AC, CRI80, 3000K-5700K, schwarz</v>
      </c>
      <c r="C2533" s="16">
        <v>107.5</v>
      </c>
      <c r="D2533" s="11">
        <v>255</v>
      </c>
      <c r="E2533" s="7">
        <f t="shared" si="116"/>
        <v>1</v>
      </c>
      <c r="F2533" s="22" t="str">
        <f>IF(ISERROR(VLOOKUP($A2533,#REF!,3,0)),"x",VLOOKUP($A2533,#REF!,3,FALSE))</f>
        <v>x</v>
      </c>
      <c r="G2533" s="9">
        <f t="shared" si="117"/>
        <v>1</v>
      </c>
      <c r="H2533" s="13">
        <f t="shared" si="118"/>
        <v>107.5</v>
      </c>
    </row>
    <row r="2534" spans="1:8" x14ac:dyDescent="0.25">
      <c r="A2534" s="2" t="str">
        <f>"UWALH-12WWSCW1TD"</f>
        <v>UWALH-12WWSCW1TD</v>
      </c>
      <c r="B2534" s="2" t="str">
        <f>"UWAL, Wandaußenleuchte, LED 12W, 200-240V AC, CRI80, 3000K-5700K, weiss"</f>
        <v>UWAL, Wandaußenleuchte, LED 12W, 200-240V AC, CRI80, 3000K-5700K, weiss</v>
      </c>
      <c r="C2534" s="16">
        <v>125</v>
      </c>
      <c r="D2534" s="11">
        <v>255</v>
      </c>
      <c r="E2534" s="7">
        <f t="shared" si="116"/>
        <v>1</v>
      </c>
      <c r="F2534" s="22" t="str">
        <f>IF(ISERROR(VLOOKUP($A2534,#REF!,3,0)),"x",VLOOKUP($A2534,#REF!,3,FALSE))</f>
        <v>x</v>
      </c>
      <c r="G2534" s="9">
        <f t="shared" si="117"/>
        <v>1</v>
      </c>
      <c r="H2534" s="13">
        <f t="shared" si="118"/>
        <v>125</v>
      </c>
    </row>
    <row r="2535" spans="1:8" x14ac:dyDescent="0.25">
      <c r="A2535" s="2" t="str">
        <f>"UWALH-12WWSCW2TD"</f>
        <v>UWALH-12WWSCW2TD</v>
      </c>
      <c r="B2535" s="2" t="str">
        <f>"UWAL, Wandaußenleuchte, LED 12W, 200-240V AC, CRI80, 3000K-5700K, schwarz"</f>
        <v>UWAL, Wandaußenleuchte, LED 12W, 200-240V AC, CRI80, 3000K-5700K, schwarz</v>
      </c>
      <c r="C2535" s="16">
        <v>125</v>
      </c>
      <c r="D2535" s="11">
        <v>255</v>
      </c>
      <c r="E2535" s="7">
        <f t="shared" si="116"/>
        <v>1</v>
      </c>
      <c r="F2535" s="22" t="str">
        <f>IF(ISERROR(VLOOKUP($A2535,#REF!,3,0)),"x",VLOOKUP($A2535,#REF!,3,FALSE))</f>
        <v>x</v>
      </c>
      <c r="G2535" s="9">
        <f t="shared" si="117"/>
        <v>1</v>
      </c>
      <c r="H2535" s="13">
        <f t="shared" si="118"/>
        <v>125</v>
      </c>
    </row>
    <row r="2536" spans="1:8" x14ac:dyDescent="0.25">
      <c r="A2536" s="2" t="str">
        <f>"UWL-10WW1EF"</f>
        <v>UWL-10WW1EF</v>
      </c>
      <c r="B2536" s="2" t="str">
        <f>"UWL Wandanbauleuchte, LED 10W, CRI&gt;80, 3000K, weiß"</f>
        <v>UWL Wandanbauleuchte, LED 10W, CRI&gt;80, 3000K, weiß</v>
      </c>
      <c r="C2536" s="16">
        <v>90</v>
      </c>
      <c r="D2536" s="11">
        <v>269</v>
      </c>
      <c r="E2536" s="7">
        <f t="shared" si="116"/>
        <v>1</v>
      </c>
      <c r="F2536" s="22" t="str">
        <f>IF(ISERROR(VLOOKUP($A2536,#REF!,3,0)),"x",VLOOKUP($A2536,#REF!,3,FALSE))</f>
        <v>x</v>
      </c>
      <c r="G2536" s="9">
        <f t="shared" si="117"/>
        <v>1</v>
      </c>
      <c r="H2536" s="13">
        <f t="shared" si="118"/>
        <v>90</v>
      </c>
    </row>
    <row r="2537" spans="1:8" x14ac:dyDescent="0.25">
      <c r="A2537" s="2" t="str">
        <f>"UWL-10WW6EF"</f>
        <v>UWL-10WW6EF</v>
      </c>
      <c r="B2537" s="2" t="str">
        <f>"UWL Wandanbauleuchte, LED 10W, CRI&gt;80, 3000K, anthrazit"</f>
        <v>UWL Wandanbauleuchte, LED 10W, CRI&gt;80, 3000K, anthrazit</v>
      </c>
      <c r="C2537" s="16">
        <v>90</v>
      </c>
      <c r="D2537" s="11">
        <v>269</v>
      </c>
      <c r="E2537" s="7">
        <f t="shared" si="116"/>
        <v>1</v>
      </c>
      <c r="F2537" s="22" t="str">
        <f>IF(ISERROR(VLOOKUP($A2537,#REF!,3,0)),"x",VLOOKUP($A2537,#REF!,3,FALSE))</f>
        <v>x</v>
      </c>
      <c r="G2537" s="9">
        <f t="shared" si="117"/>
        <v>1</v>
      </c>
      <c r="H2537" s="13">
        <f t="shared" si="118"/>
        <v>90</v>
      </c>
    </row>
    <row r="2538" spans="1:8" x14ac:dyDescent="0.25">
      <c r="A2538" s="2" t="str">
        <f>"VAM1-6SW1D"</f>
        <v>VAM1-6SW1D</v>
      </c>
      <c r="B2538" s="2" t="str">
        <f>"VAM1 Pendelleuchte, 1flammig, 1x6W, 2700K, 5m Abhängung kürzbar, incl. Netzteil,"</f>
        <v>VAM1 Pendelleuchte, 1flammig, 1x6W, 2700K, 5m Abhängung kürzbar, incl. Netzteil,</v>
      </c>
      <c r="C2538" s="16">
        <v>100</v>
      </c>
      <c r="D2538" s="11">
        <v>155</v>
      </c>
      <c r="E2538" s="7">
        <f t="shared" si="116"/>
        <v>1</v>
      </c>
      <c r="F2538" s="22" t="str">
        <f>IF(ISERROR(VLOOKUP($A2538,#REF!,3,0)),"x",VLOOKUP($A2538,#REF!,3,FALSE))</f>
        <v>x</v>
      </c>
      <c r="G2538" s="9">
        <f t="shared" si="117"/>
        <v>1</v>
      </c>
      <c r="H2538" s="13">
        <f t="shared" si="118"/>
        <v>100</v>
      </c>
    </row>
    <row r="2539" spans="1:8" x14ac:dyDescent="0.25">
      <c r="A2539" s="2" t="str">
        <f>"VAM1-6SW2D"</f>
        <v>VAM1-6SW2D</v>
      </c>
      <c r="B2539" s="2" t="str">
        <f>"VAM1 Pendelleuchte, 1flammig, 1x6W, 2700K, 5m Abhängung kürzbar, incl. Netzteil,"</f>
        <v>VAM1 Pendelleuchte, 1flammig, 1x6W, 2700K, 5m Abhängung kürzbar, incl. Netzteil,</v>
      </c>
      <c r="C2539" s="16">
        <v>100</v>
      </c>
      <c r="D2539" s="11">
        <v>155</v>
      </c>
      <c r="E2539" s="7">
        <f t="shared" si="116"/>
        <v>1</v>
      </c>
      <c r="F2539" s="22" t="str">
        <f>IF(ISERROR(VLOOKUP($A2539,#REF!,3,0)),"x",VLOOKUP($A2539,#REF!,3,FALSE))</f>
        <v>x</v>
      </c>
      <c r="G2539" s="9">
        <f t="shared" si="117"/>
        <v>1</v>
      </c>
      <c r="H2539" s="13">
        <f t="shared" si="118"/>
        <v>100</v>
      </c>
    </row>
    <row r="2540" spans="1:8" x14ac:dyDescent="0.25">
      <c r="A2540" s="2" t="str">
        <f>"VAM1-6SW3D"</f>
        <v>VAM1-6SW3D</v>
      </c>
      <c r="B2540" s="2" t="str">
        <f>"VAM1 Pendelleuchte, 1flammig, 1x6W, 2700K, 5m Abhängung kürzbar, incl. Netzteil,"</f>
        <v>VAM1 Pendelleuchte, 1flammig, 1x6W, 2700K, 5m Abhängung kürzbar, incl. Netzteil,</v>
      </c>
      <c r="C2540" s="16">
        <v>112.5</v>
      </c>
      <c r="D2540" s="11">
        <v>155</v>
      </c>
      <c r="E2540" s="7">
        <f t="shared" si="116"/>
        <v>1</v>
      </c>
      <c r="F2540" s="22" t="str">
        <f>IF(ISERROR(VLOOKUP($A2540,#REF!,3,0)),"x",VLOOKUP($A2540,#REF!,3,FALSE))</f>
        <v>x</v>
      </c>
      <c r="G2540" s="9">
        <f t="shared" si="117"/>
        <v>1</v>
      </c>
      <c r="H2540" s="13">
        <f t="shared" si="118"/>
        <v>112.5</v>
      </c>
    </row>
    <row r="2541" spans="1:8" x14ac:dyDescent="0.25">
      <c r="A2541" s="2" t="str">
        <f>"VAM2-12SW1D"</f>
        <v>VAM2-12SW1D</v>
      </c>
      <c r="B2541" s="2" t="str">
        <f>"VAM2 Pendelleuchte, 2flammig, 2x6W, 2700K, 5m Abhängung kürzbar, incl. Netzteil,"</f>
        <v>VAM2 Pendelleuchte, 2flammig, 2x6W, 2700K, 5m Abhängung kürzbar, incl. Netzteil,</v>
      </c>
      <c r="C2541" s="16">
        <v>125</v>
      </c>
      <c r="D2541" s="11">
        <v>155</v>
      </c>
      <c r="E2541" s="7">
        <f t="shared" si="116"/>
        <v>1</v>
      </c>
      <c r="F2541" s="22" t="str">
        <f>IF(ISERROR(VLOOKUP($A2541,#REF!,3,0)),"x",VLOOKUP($A2541,#REF!,3,FALSE))</f>
        <v>x</v>
      </c>
      <c r="G2541" s="9">
        <f t="shared" si="117"/>
        <v>1</v>
      </c>
      <c r="H2541" s="13">
        <f t="shared" si="118"/>
        <v>125</v>
      </c>
    </row>
    <row r="2542" spans="1:8" x14ac:dyDescent="0.25">
      <c r="A2542" s="2" t="str">
        <f>"VAM2-12SW2D"</f>
        <v>VAM2-12SW2D</v>
      </c>
      <c r="B2542" s="2" t="str">
        <f>"VAM2 Pendelleuchte, 2flammig, 2x6W, 2700K, 5m Abhängung kürzbar, incl. Netzteil,"</f>
        <v>VAM2 Pendelleuchte, 2flammig, 2x6W, 2700K, 5m Abhängung kürzbar, incl. Netzteil,</v>
      </c>
      <c r="C2542" s="16">
        <v>125</v>
      </c>
      <c r="D2542" s="11">
        <v>155</v>
      </c>
      <c r="E2542" s="7">
        <f t="shared" si="116"/>
        <v>1</v>
      </c>
      <c r="F2542" s="22" t="str">
        <f>IF(ISERROR(VLOOKUP($A2542,#REF!,3,0)),"x",VLOOKUP($A2542,#REF!,3,FALSE))</f>
        <v>x</v>
      </c>
      <c r="G2542" s="9">
        <f t="shared" si="117"/>
        <v>1</v>
      </c>
      <c r="H2542" s="13">
        <f t="shared" si="118"/>
        <v>125</v>
      </c>
    </row>
    <row r="2543" spans="1:8" x14ac:dyDescent="0.25">
      <c r="A2543" s="2" t="str">
        <f>"VAM2-12SW3D"</f>
        <v>VAM2-12SW3D</v>
      </c>
      <c r="B2543" s="2" t="str">
        <f>"VAM2 Pendelleuchte, 2flammig, 2x6W, 2700K, 5m Abhängung kürzbar, incl. Netzteil,"</f>
        <v>VAM2 Pendelleuchte, 2flammig, 2x6W, 2700K, 5m Abhängung kürzbar, incl. Netzteil,</v>
      </c>
      <c r="C2543" s="16">
        <v>150</v>
      </c>
      <c r="D2543" s="11">
        <v>155</v>
      </c>
      <c r="E2543" s="7">
        <f t="shared" si="116"/>
        <v>1</v>
      </c>
      <c r="F2543" s="22" t="str">
        <f>IF(ISERROR(VLOOKUP($A2543,#REF!,3,0)),"x",VLOOKUP($A2543,#REF!,3,FALSE))</f>
        <v>x</v>
      </c>
      <c r="G2543" s="9">
        <f t="shared" si="117"/>
        <v>1</v>
      </c>
      <c r="H2543" s="13">
        <f t="shared" si="118"/>
        <v>150</v>
      </c>
    </row>
    <row r="2544" spans="1:8" x14ac:dyDescent="0.25">
      <c r="A2544" s="2" t="str">
        <f>"VAP-14SW1D"</f>
        <v>VAP-14SW1D</v>
      </c>
      <c r="B2544" s="2" t="str">
        <f>"VAP Pendelleuchte, 15W, 2700K, CRI&gt;90, weiß, 5m Abhängung (kürzbar), inl. LED Ne"</f>
        <v>VAP Pendelleuchte, 15W, 2700K, CRI&gt;90, weiß, 5m Abhängung (kürzbar), inl. LED Ne</v>
      </c>
      <c r="C2544" s="16">
        <v>87.5</v>
      </c>
      <c r="D2544" s="11">
        <v>153</v>
      </c>
      <c r="E2544" s="7">
        <f t="shared" si="116"/>
        <v>1</v>
      </c>
      <c r="F2544" s="22" t="str">
        <f>IF(ISERROR(VLOOKUP($A2544,#REF!,3,0)),"x",VLOOKUP($A2544,#REF!,3,FALSE))</f>
        <v>x</v>
      </c>
      <c r="G2544" s="9">
        <f t="shared" si="117"/>
        <v>1</v>
      </c>
      <c r="H2544" s="13">
        <f t="shared" si="118"/>
        <v>87.5</v>
      </c>
    </row>
    <row r="2545" spans="1:8" x14ac:dyDescent="0.25">
      <c r="A2545" s="2" t="str">
        <f>"VAP-14SW2D"</f>
        <v>VAP-14SW2D</v>
      </c>
      <c r="B2545" s="2" t="str">
        <f>"VAP Pendelleuchte, 15W, 2700K, CRI&gt;90, schwarz,5m Abhäng. (kürzbar), inl. LED Ne"</f>
        <v>VAP Pendelleuchte, 15W, 2700K, CRI&gt;90, schwarz,5m Abhäng. (kürzbar), inl. LED Ne</v>
      </c>
      <c r="C2545" s="16">
        <v>87.5</v>
      </c>
      <c r="D2545" s="11">
        <v>153</v>
      </c>
      <c r="E2545" s="7">
        <f t="shared" si="116"/>
        <v>1</v>
      </c>
      <c r="F2545" s="22" t="str">
        <f>IF(ISERROR(VLOOKUP($A2545,#REF!,3,0)),"x",VLOOKUP($A2545,#REF!,3,FALSE))</f>
        <v>x</v>
      </c>
      <c r="G2545" s="9">
        <f t="shared" si="117"/>
        <v>1</v>
      </c>
      <c r="H2545" s="13">
        <f t="shared" si="118"/>
        <v>87.5</v>
      </c>
    </row>
    <row r="2546" spans="1:8" x14ac:dyDescent="0.25">
      <c r="A2546" s="2" t="str">
        <f>"VAP-14SW3D"</f>
        <v>VAP-14SW3D</v>
      </c>
      <c r="B2546" s="2" t="str">
        <f>"VAP Pendelleuchte, 15W, 2700K, CRI&gt;90, chrom, 5m Abhäng. (kürzbar), inl. LED Ne"</f>
        <v>VAP Pendelleuchte, 15W, 2700K, CRI&gt;90, chrom, 5m Abhäng. (kürzbar), inl. LED Ne</v>
      </c>
      <c r="C2546" s="16">
        <v>95</v>
      </c>
      <c r="D2546" s="11">
        <v>153</v>
      </c>
      <c r="E2546" s="7">
        <f t="shared" si="116"/>
        <v>1</v>
      </c>
      <c r="F2546" s="22" t="str">
        <f>IF(ISERROR(VLOOKUP($A2546,#REF!,3,0)),"x",VLOOKUP($A2546,#REF!,3,FALSE))</f>
        <v>x</v>
      </c>
      <c r="G2546" s="9">
        <f t="shared" si="117"/>
        <v>1</v>
      </c>
      <c r="H2546" s="13">
        <f t="shared" si="118"/>
        <v>95</v>
      </c>
    </row>
    <row r="2547" spans="1:8" x14ac:dyDescent="0.25">
      <c r="A2547" s="2" t="str">
        <f>"VEN-24NW6"</f>
        <v>VEN-24NW6</v>
      </c>
      <c r="B2547" s="2" t="str">
        <f>"Vento Mastleuchte CYC 24W 4000K IP66 IK08 anthrazit"</f>
        <v>Vento Mastleuchte CYC 24W 4000K IP66 IK08 anthrazit</v>
      </c>
      <c r="C2547" s="16">
        <v>370</v>
      </c>
      <c r="D2547" s="11">
        <v>355</v>
      </c>
      <c r="E2547" s="7">
        <f t="shared" si="116"/>
        <v>1</v>
      </c>
      <c r="F2547" s="22" t="str">
        <f>IF(ISERROR(VLOOKUP($A2547,#REF!,3,0)),"x",VLOOKUP($A2547,#REF!,3,FALSE))</f>
        <v>x</v>
      </c>
      <c r="G2547" s="9">
        <f t="shared" si="117"/>
        <v>1</v>
      </c>
      <c r="H2547" s="13">
        <f t="shared" si="118"/>
        <v>370</v>
      </c>
    </row>
    <row r="2548" spans="1:8" x14ac:dyDescent="0.25">
      <c r="A2548" s="2" t="str">
        <f>"VEN-24NW6A"</f>
        <v>VEN-24NW6A</v>
      </c>
      <c r="B2548" s="2" t="str">
        <f>"Vento Mastleuchte asym. 24W 4000K IP66 IK08 anthrazit"</f>
        <v>Vento Mastleuchte asym. 24W 4000K IP66 IK08 anthrazit</v>
      </c>
      <c r="C2548" s="16">
        <v>370</v>
      </c>
      <c r="D2548" s="11">
        <v>355</v>
      </c>
      <c r="E2548" s="7">
        <f t="shared" si="116"/>
        <v>1</v>
      </c>
      <c r="F2548" s="22" t="str">
        <f>IF(ISERROR(VLOOKUP($A2548,#REF!,3,0)),"x",VLOOKUP($A2548,#REF!,3,FALSE))</f>
        <v>x</v>
      </c>
      <c r="G2548" s="9">
        <f t="shared" si="117"/>
        <v>1</v>
      </c>
      <c r="H2548" s="13">
        <f t="shared" si="118"/>
        <v>370</v>
      </c>
    </row>
    <row r="2549" spans="1:8" x14ac:dyDescent="0.25">
      <c r="A2549" s="2" t="str">
        <f>"VEN-24NW6F"</f>
        <v>VEN-24NW6F</v>
      </c>
      <c r="B2549" s="2" t="str">
        <f>"Vento Mastleuchte ST. 24W 4000K IP66 IK08 anthrazit"</f>
        <v>Vento Mastleuchte ST. 24W 4000K IP66 IK08 anthrazit</v>
      </c>
      <c r="C2549" s="16">
        <v>370</v>
      </c>
      <c r="D2549" s="11">
        <v>355</v>
      </c>
      <c r="E2549" s="7">
        <f t="shared" si="116"/>
        <v>1</v>
      </c>
      <c r="F2549" s="22" t="str">
        <f>IF(ISERROR(VLOOKUP($A2549,#REF!,3,0)),"x",VLOOKUP($A2549,#REF!,3,FALSE))</f>
        <v>x</v>
      </c>
      <c r="G2549" s="9">
        <f t="shared" si="117"/>
        <v>1</v>
      </c>
      <c r="H2549" s="13">
        <f t="shared" si="118"/>
        <v>370</v>
      </c>
    </row>
    <row r="2550" spans="1:8" x14ac:dyDescent="0.25">
      <c r="A2550" s="2" t="str">
        <f>"VEN-48NW6"</f>
        <v>VEN-48NW6</v>
      </c>
      <c r="B2550" s="2" t="str">
        <f>"Vento Mastleuchte CYC 48W 4000K IP66 IK08 anthrazit"</f>
        <v>Vento Mastleuchte CYC 48W 4000K IP66 IK08 anthrazit</v>
      </c>
      <c r="C2550" s="16">
        <v>425</v>
      </c>
      <c r="D2550" s="11">
        <v>355</v>
      </c>
      <c r="E2550" s="7">
        <f t="shared" si="116"/>
        <v>1</v>
      </c>
      <c r="F2550" s="22" t="str">
        <f>IF(ISERROR(VLOOKUP($A2550,#REF!,3,0)),"x",VLOOKUP($A2550,#REF!,3,FALSE))</f>
        <v>x</v>
      </c>
      <c r="G2550" s="9">
        <f t="shared" si="117"/>
        <v>1</v>
      </c>
      <c r="H2550" s="13">
        <f t="shared" si="118"/>
        <v>425</v>
      </c>
    </row>
    <row r="2551" spans="1:8" x14ac:dyDescent="0.25">
      <c r="A2551" s="2" t="str">
        <f>"VEN-48NW6A"</f>
        <v>VEN-48NW6A</v>
      </c>
      <c r="B2551" s="2" t="str">
        <f>"Vento Mastleuchte asym. 48W 4000K IP66 IK08 anthrazit"</f>
        <v>Vento Mastleuchte asym. 48W 4000K IP66 IK08 anthrazit</v>
      </c>
      <c r="C2551" s="16">
        <v>425</v>
      </c>
      <c r="D2551" s="11">
        <v>355</v>
      </c>
      <c r="E2551" s="7">
        <f t="shared" si="116"/>
        <v>1</v>
      </c>
      <c r="F2551" s="22" t="str">
        <f>IF(ISERROR(VLOOKUP($A2551,#REF!,3,0)),"x",VLOOKUP($A2551,#REF!,3,FALSE))</f>
        <v>x</v>
      </c>
      <c r="G2551" s="9">
        <f t="shared" si="117"/>
        <v>1</v>
      </c>
      <c r="H2551" s="13">
        <f t="shared" si="118"/>
        <v>425</v>
      </c>
    </row>
    <row r="2552" spans="1:8" x14ac:dyDescent="0.25">
      <c r="A2552" s="2" t="str">
        <f>"VEN-48NW6F"</f>
        <v>VEN-48NW6F</v>
      </c>
      <c r="B2552" s="2" t="str">
        <f>"Vento Mastleuchte ST 48W 4000K IP66 IK08 anthrazit"</f>
        <v>Vento Mastleuchte ST 48W 4000K IP66 IK08 anthrazit</v>
      </c>
      <c r="C2552" s="16">
        <v>425</v>
      </c>
      <c r="D2552" s="11">
        <v>355</v>
      </c>
      <c r="E2552" s="7">
        <f t="shared" si="116"/>
        <v>1</v>
      </c>
      <c r="F2552" s="22" t="str">
        <f>IF(ISERROR(VLOOKUP($A2552,#REF!,3,0)),"x",VLOOKUP($A2552,#REF!,3,FALSE))</f>
        <v>x</v>
      </c>
      <c r="G2552" s="9">
        <f t="shared" si="117"/>
        <v>1</v>
      </c>
      <c r="H2552" s="13">
        <f t="shared" si="118"/>
        <v>425</v>
      </c>
    </row>
    <row r="2553" spans="1:8" x14ac:dyDescent="0.25">
      <c r="A2553" s="2" t="str">
        <f>"VEN-72NW6"</f>
        <v>VEN-72NW6</v>
      </c>
      <c r="B2553" s="2" t="str">
        <f>"Vento Mastleuchte CYC 72W 4000K IP66 IK08 anthrazit"</f>
        <v>Vento Mastleuchte CYC 72W 4000K IP66 IK08 anthrazit</v>
      </c>
      <c r="C2553" s="16">
        <v>467.5</v>
      </c>
      <c r="D2553" s="11">
        <v>355</v>
      </c>
      <c r="E2553" s="7">
        <f t="shared" si="116"/>
        <v>1</v>
      </c>
      <c r="F2553" s="22" t="str">
        <f>IF(ISERROR(VLOOKUP($A2553,#REF!,3,0)),"x",VLOOKUP($A2553,#REF!,3,FALSE))</f>
        <v>x</v>
      </c>
      <c r="G2553" s="9">
        <f t="shared" si="117"/>
        <v>1</v>
      </c>
      <c r="H2553" s="13">
        <f t="shared" si="118"/>
        <v>467.5</v>
      </c>
    </row>
    <row r="2554" spans="1:8" x14ac:dyDescent="0.25">
      <c r="A2554" s="2" t="str">
        <f>"VEN-72NW6A"</f>
        <v>VEN-72NW6A</v>
      </c>
      <c r="B2554" s="2" t="str">
        <f>"Vento Mastleuchte asym. 72W 4000K IP66 IK08 anthrazit"</f>
        <v>Vento Mastleuchte asym. 72W 4000K IP66 IK08 anthrazit</v>
      </c>
      <c r="C2554" s="16">
        <v>467.5</v>
      </c>
      <c r="D2554" s="11">
        <v>355</v>
      </c>
      <c r="E2554" s="7">
        <f t="shared" si="116"/>
        <v>1</v>
      </c>
      <c r="F2554" s="22" t="str">
        <f>IF(ISERROR(VLOOKUP($A2554,#REF!,3,0)),"x",VLOOKUP($A2554,#REF!,3,FALSE))</f>
        <v>x</v>
      </c>
      <c r="G2554" s="9">
        <f t="shared" si="117"/>
        <v>1</v>
      </c>
      <c r="H2554" s="13">
        <f t="shared" si="118"/>
        <v>467.5</v>
      </c>
    </row>
    <row r="2555" spans="1:8" x14ac:dyDescent="0.25">
      <c r="A2555" s="2" t="str">
        <f>"VEN-72NW6F"</f>
        <v>VEN-72NW6F</v>
      </c>
      <c r="B2555" s="2" t="str">
        <f>"Vento Mastleuchte ST 72W 4000K IP66 IK08 anthrazit"</f>
        <v>Vento Mastleuchte ST 72W 4000K IP66 IK08 anthrazit</v>
      </c>
      <c r="C2555" s="16">
        <v>467.5</v>
      </c>
      <c r="D2555" s="11">
        <v>355</v>
      </c>
      <c r="E2555" s="7">
        <f t="shared" si="116"/>
        <v>1</v>
      </c>
      <c r="F2555" s="22" t="str">
        <f>IF(ISERROR(VLOOKUP($A2555,#REF!,3,0)),"x",VLOOKUP($A2555,#REF!,3,FALSE))</f>
        <v>x</v>
      </c>
      <c r="G2555" s="9">
        <f t="shared" si="117"/>
        <v>1</v>
      </c>
      <c r="H2555" s="13">
        <f t="shared" si="118"/>
        <v>467.5</v>
      </c>
    </row>
    <row r="2556" spans="1:8" x14ac:dyDescent="0.25">
      <c r="A2556" s="2" t="str">
        <f>"VHL-15NW300D"</f>
        <v>VHL-15NW300D</v>
      </c>
      <c r="B2556" s="2" t="str">
        <f>"Pendelleuchte, 15W, 4000K, Schirm Ø 300mm, H=150mm, schwarz/gold"</f>
        <v>Pendelleuchte, 15W, 4000K, Schirm Ø 300mm, H=150mm, schwarz/gold</v>
      </c>
      <c r="C2556" s="16">
        <v>155</v>
      </c>
      <c r="D2556" s="11">
        <v>151</v>
      </c>
      <c r="E2556" s="7">
        <f t="shared" si="116"/>
        <v>1</v>
      </c>
      <c r="F2556" s="22" t="str">
        <f>IF(ISERROR(VLOOKUP($A2556,#REF!,3,0)),"x",VLOOKUP($A2556,#REF!,3,FALSE))</f>
        <v>x</v>
      </c>
      <c r="G2556" s="9">
        <f t="shared" si="117"/>
        <v>1</v>
      </c>
      <c r="H2556" s="13">
        <f t="shared" si="118"/>
        <v>155</v>
      </c>
    </row>
    <row r="2557" spans="1:8" x14ac:dyDescent="0.25">
      <c r="A2557" s="2" t="str">
        <f>"VHL-25NW400D"</f>
        <v>VHL-25NW400D</v>
      </c>
      <c r="B2557" s="2" t="str">
        <f>"Pendelleuchte, 25W, 4000K, Schirm Ø 400mm, H=200mm, schwarz/gold "</f>
        <v xml:space="preserve">Pendelleuchte, 25W, 4000K, Schirm Ø 400mm, H=200mm, schwarz/gold </v>
      </c>
      <c r="C2557" s="16">
        <v>165</v>
      </c>
      <c r="D2557" s="11">
        <v>151</v>
      </c>
      <c r="E2557" s="7">
        <f t="shared" si="116"/>
        <v>1</v>
      </c>
      <c r="F2557" s="22" t="str">
        <f>IF(ISERROR(VLOOKUP($A2557,#REF!,3,0)),"x",VLOOKUP($A2557,#REF!,3,FALSE))</f>
        <v>x</v>
      </c>
      <c r="G2557" s="9">
        <f t="shared" si="117"/>
        <v>1</v>
      </c>
      <c r="H2557" s="13">
        <f t="shared" si="118"/>
        <v>165</v>
      </c>
    </row>
    <row r="2558" spans="1:8" x14ac:dyDescent="0.25">
      <c r="A2558" s="2" t="str">
        <f>"WASH22-1811"</f>
        <v>WASH22-1811</v>
      </c>
      <c r="B2558" s="2" t="str">
        <f>"1306BI Wash 22 Wandaußenleuchte, E27, 1-fach, weiß"</f>
        <v>1306BI Wash 22 Wandaußenleuchte, E27, 1-fach, weiß</v>
      </c>
      <c r="C2558" s="16">
        <v>187.75</v>
      </c>
      <c r="D2558" s="11">
        <v>270</v>
      </c>
      <c r="E2558" s="7">
        <f t="shared" si="116"/>
        <v>1</v>
      </c>
      <c r="F2558" s="22" t="str">
        <f>IF(ISERROR(VLOOKUP($A2558,#REF!,3,0)),"x",VLOOKUP($A2558,#REF!,3,FALSE))</f>
        <v>x</v>
      </c>
      <c r="G2558" s="9">
        <f t="shared" si="117"/>
        <v>1</v>
      </c>
      <c r="H2558" s="13">
        <f t="shared" si="118"/>
        <v>187.75</v>
      </c>
    </row>
    <row r="2559" spans="1:8" x14ac:dyDescent="0.25">
      <c r="A2559" s="2" t="str">
        <f>"WASH22-1816"</f>
        <v>WASH22-1816</v>
      </c>
      <c r="B2559" s="2" t="str">
        <f>"1306AN Wash 22 Wandaußenleuchte, E27, 1-fach, anthrazit "</f>
        <v xml:space="preserve">1306AN Wash 22 Wandaußenleuchte, E27, 1-fach, anthrazit </v>
      </c>
      <c r="C2559" s="16">
        <v>187.75</v>
      </c>
      <c r="D2559" s="11">
        <v>270</v>
      </c>
      <c r="E2559" s="7">
        <f t="shared" si="116"/>
        <v>1</v>
      </c>
      <c r="F2559" s="22" t="str">
        <f>IF(ISERROR(VLOOKUP($A2559,#REF!,3,0)),"x",VLOOKUP($A2559,#REF!,3,FALSE))</f>
        <v>x</v>
      </c>
      <c r="G2559" s="9">
        <f t="shared" si="117"/>
        <v>1</v>
      </c>
      <c r="H2559" s="13">
        <f t="shared" si="118"/>
        <v>187.75</v>
      </c>
    </row>
    <row r="2560" spans="1:8" x14ac:dyDescent="0.25">
      <c r="A2560" s="2" t="str">
        <f>"WASH22-1817"</f>
        <v>WASH22-1817</v>
      </c>
      <c r="B2560" s="2" t="str">
        <f>"1306AG Wash 22 Wandaußenleuchte, E27, 1-fach, aluminiumgrau "</f>
        <v xml:space="preserve">1306AG Wash 22 Wandaußenleuchte, E27, 1-fach, aluminiumgrau </v>
      </c>
      <c r="C2560" s="16">
        <v>187.75</v>
      </c>
      <c r="D2560" s="11">
        <v>270</v>
      </c>
      <c r="E2560" s="7">
        <f t="shared" si="116"/>
        <v>1</v>
      </c>
      <c r="F2560" s="22" t="str">
        <f>IF(ISERROR(VLOOKUP($A2560,#REF!,3,0)),"x",VLOOKUP($A2560,#REF!,3,FALSE))</f>
        <v>x</v>
      </c>
      <c r="G2560" s="9">
        <f t="shared" si="117"/>
        <v>1</v>
      </c>
      <c r="H2560" s="13">
        <f t="shared" si="118"/>
        <v>187.75</v>
      </c>
    </row>
    <row r="2561" spans="1:8" x14ac:dyDescent="0.25">
      <c r="A2561" s="2" t="str">
        <f>"WASH22-1821"</f>
        <v>WASH22-1821</v>
      </c>
      <c r="B2561" s="2" t="str">
        <f>"1302BI Wash 22, Wandaußenleuchte, E27, 2-fach, weiß"</f>
        <v>1302BI Wash 22, Wandaußenleuchte, E27, 2-fach, weiß</v>
      </c>
      <c r="C2561" s="16">
        <v>224.25</v>
      </c>
      <c r="D2561" s="11">
        <v>270</v>
      </c>
      <c r="E2561" s="7">
        <f t="shared" si="116"/>
        <v>1</v>
      </c>
      <c r="F2561" s="22" t="str">
        <f>IF(ISERROR(VLOOKUP($A2561,#REF!,3,0)),"x",VLOOKUP($A2561,#REF!,3,FALSE))</f>
        <v>x</v>
      </c>
      <c r="G2561" s="9">
        <f t="shared" ref="G2561:G2624" si="119">IF(C2561&lt;F2561,1,IF(C2561&gt;F2561,-1,0))</f>
        <v>1</v>
      </c>
      <c r="H2561" s="13">
        <f t="shared" si="118"/>
        <v>224.25</v>
      </c>
    </row>
    <row r="2562" spans="1:8" x14ac:dyDescent="0.25">
      <c r="A2562" s="2" t="str">
        <f>"WASH22-1826"</f>
        <v>WASH22-1826</v>
      </c>
      <c r="B2562" s="2" t="str">
        <f>"1302AN Wash 22 Wandaußenleuchte, E27, 2-fach, anthrazit"</f>
        <v>1302AN Wash 22 Wandaußenleuchte, E27, 2-fach, anthrazit</v>
      </c>
      <c r="C2562" s="16">
        <v>224.25</v>
      </c>
      <c r="D2562" s="11">
        <v>270</v>
      </c>
      <c r="E2562" s="7">
        <f t="shared" si="116"/>
        <v>1</v>
      </c>
      <c r="F2562" s="22" t="str">
        <f>IF(ISERROR(VLOOKUP($A2562,#REF!,3,0)),"x",VLOOKUP($A2562,#REF!,3,FALSE))</f>
        <v>x</v>
      </c>
      <c r="G2562" s="9">
        <f t="shared" si="119"/>
        <v>1</v>
      </c>
      <c r="H2562" s="13">
        <f t="shared" si="118"/>
        <v>224.25</v>
      </c>
    </row>
    <row r="2563" spans="1:8" x14ac:dyDescent="0.25">
      <c r="A2563" s="2" t="str">
        <f>"WASH22-1827"</f>
        <v>WASH22-1827</v>
      </c>
      <c r="B2563" s="2" t="str">
        <f>"1302AG Wash 22 Wandaußenleuchte, E27, 2-fach, aluminiumgrau"</f>
        <v>1302AG Wash 22 Wandaußenleuchte, E27, 2-fach, aluminiumgrau</v>
      </c>
      <c r="C2563" s="16">
        <v>224.25</v>
      </c>
      <c r="D2563" s="11">
        <v>270</v>
      </c>
      <c r="E2563" s="7">
        <f t="shared" si="116"/>
        <v>1</v>
      </c>
      <c r="F2563" s="22" t="str">
        <f>IF(ISERROR(VLOOKUP($A2563,#REF!,3,0)),"x",VLOOKUP($A2563,#REF!,3,FALSE))</f>
        <v>x</v>
      </c>
      <c r="G2563" s="9">
        <f t="shared" si="119"/>
        <v>1</v>
      </c>
      <c r="H2563" s="13">
        <f t="shared" ref="H2563:H2626" si="120">IF(F2563="x",C2563,F2563)</f>
        <v>224.25</v>
      </c>
    </row>
    <row r="2564" spans="1:8" x14ac:dyDescent="0.25">
      <c r="A2564" s="2" t="str">
        <f>"WASH22-1NW1"</f>
        <v>WASH22-1NW1</v>
      </c>
      <c r="B2564" s="2" t="str">
        <f>"1305BI4K Wash 22 Wandaußenleuchte, LED, 1x11W, 4000K, 1-fach, weiß"</f>
        <v>1305BI4K Wash 22 Wandaußenleuchte, LED, 1x11W, 4000K, 1-fach, weiß</v>
      </c>
      <c r="C2564" s="16">
        <v>295</v>
      </c>
      <c r="D2564" s="11">
        <v>270</v>
      </c>
      <c r="E2564" s="7">
        <f t="shared" si="116"/>
        <v>1</v>
      </c>
      <c r="F2564" s="22" t="str">
        <f>IF(ISERROR(VLOOKUP($A2564,#REF!,3,0)),"x",VLOOKUP($A2564,#REF!,3,FALSE))</f>
        <v>x</v>
      </c>
      <c r="G2564" s="9">
        <f t="shared" si="119"/>
        <v>1</v>
      </c>
      <c r="H2564" s="13">
        <f t="shared" si="120"/>
        <v>295</v>
      </c>
    </row>
    <row r="2565" spans="1:8" x14ac:dyDescent="0.25">
      <c r="A2565" s="2" t="str">
        <f>"WASH22-1NW6"</f>
        <v>WASH22-1NW6</v>
      </c>
      <c r="B2565" s="2" t="str">
        <f>"1305AN4K Wash 22 Wandaußenleuchte, LED 1x11W, 4000K, 1-fach, anthrazit"</f>
        <v>1305AN4K Wash 22 Wandaußenleuchte, LED 1x11W, 4000K, 1-fach, anthrazit</v>
      </c>
      <c r="C2565" s="16">
        <v>295</v>
      </c>
      <c r="D2565" s="11">
        <v>270</v>
      </c>
      <c r="E2565" s="7">
        <f t="shared" si="116"/>
        <v>1</v>
      </c>
      <c r="F2565" s="22" t="str">
        <f>IF(ISERROR(VLOOKUP($A2565,#REF!,3,0)),"x",VLOOKUP($A2565,#REF!,3,FALSE))</f>
        <v>x</v>
      </c>
      <c r="G2565" s="9">
        <f t="shared" si="119"/>
        <v>1</v>
      </c>
      <c r="H2565" s="13">
        <f t="shared" si="120"/>
        <v>295</v>
      </c>
    </row>
    <row r="2566" spans="1:8" x14ac:dyDescent="0.25">
      <c r="A2566" s="2" t="str">
        <f>"WASH22-1NW7"</f>
        <v>WASH22-1NW7</v>
      </c>
      <c r="B2566" s="2" t="str">
        <f>"1305GM4K Wash 22 Wandaußenleuchte, LED 1x11W, 4000K, 1-fach, aluminiumgrau"</f>
        <v>1305GM4K Wash 22 Wandaußenleuchte, LED 1x11W, 4000K, 1-fach, aluminiumgrau</v>
      </c>
      <c r="C2566" s="16">
        <v>295</v>
      </c>
      <c r="D2566" s="11">
        <v>270</v>
      </c>
      <c r="E2566" s="7">
        <f t="shared" si="116"/>
        <v>1</v>
      </c>
      <c r="F2566" s="22" t="str">
        <f>IF(ISERROR(VLOOKUP($A2566,#REF!,3,0)),"x",VLOOKUP($A2566,#REF!,3,FALSE))</f>
        <v>x</v>
      </c>
      <c r="G2566" s="9">
        <f t="shared" si="119"/>
        <v>1</v>
      </c>
      <c r="H2566" s="13">
        <f t="shared" si="120"/>
        <v>295</v>
      </c>
    </row>
    <row r="2567" spans="1:8" x14ac:dyDescent="0.25">
      <c r="A2567" s="2" t="str">
        <f>"WASH22-1WW1"</f>
        <v>WASH22-1WW1</v>
      </c>
      <c r="B2567" s="2" t="str">
        <f>"1305BI3K Wash 22 Wandaußenleuchte, LED 1x11W, 3000K, 1-fach, weiß"</f>
        <v>1305BI3K Wash 22 Wandaußenleuchte, LED 1x11W, 3000K, 1-fach, weiß</v>
      </c>
      <c r="C2567" s="16">
        <v>295</v>
      </c>
      <c r="D2567" s="11">
        <v>270</v>
      </c>
      <c r="E2567" s="7">
        <f t="shared" si="116"/>
        <v>1</v>
      </c>
      <c r="F2567" s="22" t="str">
        <f>IF(ISERROR(VLOOKUP($A2567,#REF!,3,0)),"x",VLOOKUP($A2567,#REF!,3,FALSE))</f>
        <v>x</v>
      </c>
      <c r="G2567" s="9">
        <f t="shared" si="119"/>
        <v>1</v>
      </c>
      <c r="H2567" s="13">
        <f t="shared" si="120"/>
        <v>295</v>
      </c>
    </row>
    <row r="2568" spans="1:8" x14ac:dyDescent="0.25">
      <c r="A2568" s="2" t="str">
        <f>"WASH22-1WW6"</f>
        <v>WASH22-1WW6</v>
      </c>
      <c r="B2568" s="2" t="str">
        <f>"1305AN3K Wash 22 Wandaußenleuchte, LED 1x11W,3000K,1-fach, anthrazit "</f>
        <v xml:space="preserve">1305AN3K Wash 22 Wandaußenleuchte, LED 1x11W,3000K,1-fach, anthrazit </v>
      </c>
      <c r="C2568" s="16">
        <v>295</v>
      </c>
      <c r="D2568" s="11">
        <v>270</v>
      </c>
      <c r="E2568" s="7">
        <f t="shared" si="116"/>
        <v>1</v>
      </c>
      <c r="F2568" s="22" t="str">
        <f>IF(ISERROR(VLOOKUP($A2568,#REF!,3,0)),"x",VLOOKUP($A2568,#REF!,3,FALSE))</f>
        <v>x</v>
      </c>
      <c r="G2568" s="9">
        <f t="shared" si="119"/>
        <v>1</v>
      </c>
      <c r="H2568" s="13">
        <f t="shared" si="120"/>
        <v>295</v>
      </c>
    </row>
    <row r="2569" spans="1:8" x14ac:dyDescent="0.25">
      <c r="A2569" s="2" t="str">
        <f>"WASH22-1WW7"</f>
        <v>WASH22-1WW7</v>
      </c>
      <c r="B2569" s="2" t="str">
        <f>"1305AG3K Wash 22 Wandaußenleuchte, LED 1x11W, 3000K, 1-fach, aluminiumgrau"</f>
        <v>1305AG3K Wash 22 Wandaußenleuchte, LED 1x11W, 3000K, 1-fach, aluminiumgrau</v>
      </c>
      <c r="C2569" s="16">
        <v>295</v>
      </c>
      <c r="D2569" s="11">
        <v>270</v>
      </c>
      <c r="E2569" s="7">
        <f t="shared" si="116"/>
        <v>1</v>
      </c>
      <c r="F2569" s="22" t="str">
        <f>IF(ISERROR(VLOOKUP($A2569,#REF!,3,0)),"x",VLOOKUP($A2569,#REF!,3,FALSE))</f>
        <v>x</v>
      </c>
      <c r="G2569" s="9">
        <f t="shared" si="119"/>
        <v>1</v>
      </c>
      <c r="H2569" s="13">
        <f t="shared" si="120"/>
        <v>295</v>
      </c>
    </row>
    <row r="2570" spans="1:8" x14ac:dyDescent="0.25">
      <c r="A2570" s="2" t="str">
        <f>"WASH22-2NW1"</f>
        <v>WASH22-2NW1</v>
      </c>
      <c r="B2570" s="2" t="str">
        <f>"1301BI4K Wash 22 Wandaußenleuchte, LED 2x11W, 4000K, 2-fach, weiß"</f>
        <v>1301BI4K Wash 22 Wandaußenleuchte, LED 2x11W, 4000K, 2-fach, weiß</v>
      </c>
      <c r="C2570" s="16">
        <v>393.5</v>
      </c>
      <c r="D2570" s="11">
        <v>270</v>
      </c>
      <c r="E2570" s="7">
        <f t="shared" si="116"/>
        <v>1</v>
      </c>
      <c r="F2570" s="22" t="str">
        <f>IF(ISERROR(VLOOKUP($A2570,#REF!,3,0)),"x",VLOOKUP($A2570,#REF!,3,FALSE))</f>
        <v>x</v>
      </c>
      <c r="G2570" s="9">
        <f t="shared" si="119"/>
        <v>1</v>
      </c>
      <c r="H2570" s="13">
        <f t="shared" si="120"/>
        <v>393.5</v>
      </c>
    </row>
    <row r="2571" spans="1:8" x14ac:dyDescent="0.25">
      <c r="A2571" s="2" t="str">
        <f>"WASH22-2NW6"</f>
        <v>WASH22-2NW6</v>
      </c>
      <c r="B2571" s="2" t="str">
        <f>"1301AN4K Wash 22 Wandaußenleuchte, LED 2x11W, 4000K, 2-fach, anthrazit "</f>
        <v xml:space="preserve">1301AN4K Wash 22 Wandaußenleuchte, LED 2x11W, 4000K, 2-fach, anthrazit </v>
      </c>
      <c r="C2571" s="16">
        <v>393.5</v>
      </c>
      <c r="D2571" s="11">
        <v>270</v>
      </c>
      <c r="E2571" s="7">
        <f t="shared" si="116"/>
        <v>1</v>
      </c>
      <c r="F2571" s="22" t="str">
        <f>IF(ISERROR(VLOOKUP($A2571,#REF!,3,0)),"x",VLOOKUP($A2571,#REF!,3,FALSE))</f>
        <v>x</v>
      </c>
      <c r="G2571" s="9">
        <f t="shared" si="119"/>
        <v>1</v>
      </c>
      <c r="H2571" s="13">
        <f t="shared" si="120"/>
        <v>393.5</v>
      </c>
    </row>
    <row r="2572" spans="1:8" x14ac:dyDescent="0.25">
      <c r="A2572" s="2" t="str">
        <f>"WASH22-2NW7"</f>
        <v>WASH22-2NW7</v>
      </c>
      <c r="B2572" s="2" t="str">
        <f>"1301AG4K Wash 22 Wandaußenleuchte, LED 2x11W, 4000K, 2-fach, aluminiumgrau "</f>
        <v xml:space="preserve">1301AG4K Wash 22 Wandaußenleuchte, LED 2x11W, 4000K, 2-fach, aluminiumgrau </v>
      </c>
      <c r="C2572" s="16">
        <v>393.5</v>
      </c>
      <c r="D2572" s="11">
        <v>270</v>
      </c>
      <c r="E2572" s="7">
        <f t="shared" si="116"/>
        <v>1</v>
      </c>
      <c r="F2572" s="22" t="str">
        <f>IF(ISERROR(VLOOKUP($A2572,#REF!,3,0)),"x",VLOOKUP($A2572,#REF!,3,FALSE))</f>
        <v>x</v>
      </c>
      <c r="G2572" s="9">
        <f t="shared" si="119"/>
        <v>1</v>
      </c>
      <c r="H2572" s="13">
        <f t="shared" si="120"/>
        <v>393.5</v>
      </c>
    </row>
    <row r="2573" spans="1:8" x14ac:dyDescent="0.25">
      <c r="A2573" s="2" t="str">
        <f>"WASH22-2WW1"</f>
        <v>WASH22-2WW1</v>
      </c>
      <c r="B2573" s="2" t="str">
        <f>"1301BI3K Wash 22 Wandaußenleuchte, LED 2x11W, 3000K, 2-fach, weiß"</f>
        <v>1301BI3K Wash 22 Wandaußenleuchte, LED 2x11W, 3000K, 2-fach, weiß</v>
      </c>
      <c r="C2573" s="16">
        <v>393.5</v>
      </c>
      <c r="D2573" s="11">
        <v>270</v>
      </c>
      <c r="E2573" s="7">
        <f t="shared" si="116"/>
        <v>1</v>
      </c>
      <c r="F2573" s="22" t="str">
        <f>IF(ISERROR(VLOOKUP($A2573,#REF!,3,0)),"x",VLOOKUP($A2573,#REF!,3,FALSE))</f>
        <v>x</v>
      </c>
      <c r="G2573" s="9">
        <f t="shared" si="119"/>
        <v>1</v>
      </c>
      <c r="H2573" s="13">
        <f t="shared" si="120"/>
        <v>393.5</v>
      </c>
    </row>
    <row r="2574" spans="1:8" x14ac:dyDescent="0.25">
      <c r="A2574" s="2" t="str">
        <f>"WASH22-2WW6"</f>
        <v>WASH22-2WW6</v>
      </c>
      <c r="B2574" s="2" t="str">
        <f>"1301AN3K Wash 22 Wandaußenleuchte, LED 2x11W, 3000K, 2-fach, anthrazit"</f>
        <v>1301AN3K Wash 22 Wandaußenleuchte, LED 2x11W, 3000K, 2-fach, anthrazit</v>
      </c>
      <c r="C2574" s="16">
        <v>390</v>
      </c>
      <c r="D2574" s="11">
        <v>270</v>
      </c>
      <c r="E2574" s="7">
        <f t="shared" si="116"/>
        <v>1</v>
      </c>
      <c r="F2574" s="22" t="str">
        <f>IF(ISERROR(VLOOKUP($A2574,#REF!,3,0)),"x",VLOOKUP($A2574,#REF!,3,FALSE))</f>
        <v>x</v>
      </c>
      <c r="G2574" s="9">
        <f t="shared" si="119"/>
        <v>1</v>
      </c>
      <c r="H2574" s="13">
        <f t="shared" si="120"/>
        <v>390</v>
      </c>
    </row>
    <row r="2575" spans="1:8" x14ac:dyDescent="0.25">
      <c r="A2575" s="2" t="str">
        <f>"WASH22-2WW7"</f>
        <v>WASH22-2WW7</v>
      </c>
      <c r="B2575" s="2" t="str">
        <f>"1301AG3K Wash 22 Wandaußenleuchte, LED 2x11W, 3000K, 2-fach, aluminiumgrau"</f>
        <v>1301AG3K Wash 22 Wandaußenleuchte, LED 2x11W, 3000K, 2-fach, aluminiumgrau</v>
      </c>
      <c r="C2575" s="16">
        <v>393.5</v>
      </c>
      <c r="D2575" s="11">
        <v>270</v>
      </c>
      <c r="E2575" s="7">
        <f t="shared" si="116"/>
        <v>1</v>
      </c>
      <c r="F2575" s="22" t="str">
        <f>IF(ISERROR(VLOOKUP($A2575,#REF!,3,0)),"x",VLOOKUP($A2575,#REF!,3,FALSE))</f>
        <v>x</v>
      </c>
      <c r="G2575" s="9">
        <f t="shared" si="119"/>
        <v>1</v>
      </c>
      <c r="H2575" s="13">
        <f t="shared" si="120"/>
        <v>393.5</v>
      </c>
    </row>
    <row r="2576" spans="1:8" x14ac:dyDescent="0.25">
      <c r="A2576" s="2" t="str">
        <f>"WASH22P-1NW1"</f>
        <v>WASH22P-1NW1</v>
      </c>
      <c r="B2576" s="2" t="str">
        <f>"1309BI4K Wash 22 Wandaußenleuchte, LED 11W, 4000K, 1-fach asym. Refl., weiß"</f>
        <v>1309BI4K Wash 22 Wandaußenleuchte, LED 11W, 4000K, 1-fach asym. Refl., weiß</v>
      </c>
      <c r="C2576" s="16">
        <v>322.5</v>
      </c>
      <c r="D2576" s="11">
        <v>270</v>
      </c>
      <c r="E2576" s="7">
        <f t="shared" si="116"/>
        <v>1</v>
      </c>
      <c r="F2576" s="22" t="str">
        <f>IF(ISERROR(VLOOKUP($A2576,#REF!,3,0)),"x",VLOOKUP($A2576,#REF!,3,FALSE))</f>
        <v>x</v>
      </c>
      <c r="G2576" s="9">
        <f t="shared" si="119"/>
        <v>1</v>
      </c>
      <c r="H2576" s="13">
        <f t="shared" si="120"/>
        <v>322.5</v>
      </c>
    </row>
    <row r="2577" spans="1:8" x14ac:dyDescent="0.25">
      <c r="A2577" s="2" t="str">
        <f>"WASH22P-1NW6"</f>
        <v>WASH22P-1NW6</v>
      </c>
      <c r="B2577" s="2" t="str">
        <f>"1309AN4K Wash 22 Wandaußenleuchte, LED 11W, 4000K, 1-fach asym. Refl., anthrazit"</f>
        <v>1309AN4K Wash 22 Wandaußenleuchte, LED 11W, 4000K, 1-fach asym. Refl., anthrazit</v>
      </c>
      <c r="C2577" s="16">
        <v>322.5</v>
      </c>
      <c r="D2577" s="11">
        <v>270</v>
      </c>
      <c r="E2577" s="7">
        <f t="shared" si="116"/>
        <v>1</v>
      </c>
      <c r="F2577" s="22" t="str">
        <f>IF(ISERROR(VLOOKUP($A2577,#REF!,3,0)),"x",VLOOKUP($A2577,#REF!,3,FALSE))</f>
        <v>x</v>
      </c>
      <c r="G2577" s="9">
        <f t="shared" si="119"/>
        <v>1</v>
      </c>
      <c r="H2577" s="13">
        <f t="shared" si="120"/>
        <v>322.5</v>
      </c>
    </row>
    <row r="2578" spans="1:8" x14ac:dyDescent="0.25">
      <c r="A2578" s="2" t="str">
        <f>"WASH22P-1NW7"</f>
        <v>WASH22P-1NW7</v>
      </c>
      <c r="B2578" s="2" t="str">
        <f>"1309AG4K Wash 22 Wandaußenleuchte, LED 11W, 4000K, 1-fach asym. Refl., alugrau"</f>
        <v>1309AG4K Wash 22 Wandaußenleuchte, LED 11W, 4000K, 1-fach asym. Refl., alugrau</v>
      </c>
      <c r="C2578" s="16">
        <v>322.5</v>
      </c>
      <c r="D2578" s="11">
        <v>270</v>
      </c>
      <c r="E2578" s="7">
        <f t="shared" si="116"/>
        <v>1</v>
      </c>
      <c r="F2578" s="22" t="str">
        <f>IF(ISERROR(VLOOKUP($A2578,#REF!,3,0)),"x",VLOOKUP($A2578,#REF!,3,FALSE))</f>
        <v>x</v>
      </c>
      <c r="G2578" s="9">
        <f t="shared" si="119"/>
        <v>1</v>
      </c>
      <c r="H2578" s="13">
        <f t="shared" si="120"/>
        <v>322.5</v>
      </c>
    </row>
    <row r="2579" spans="1:8" x14ac:dyDescent="0.25">
      <c r="A2579" s="2" t="str">
        <f>"WASH22P-1WW1"</f>
        <v>WASH22P-1WW1</v>
      </c>
      <c r="B2579" s="2" t="str">
        <f>"1309BI3K Wash 22 Wandaußenleuchte, LED 11W, 3000K, 1-fach asym. Refl., weiß  "</f>
        <v xml:space="preserve">1309BI3K Wash 22 Wandaußenleuchte, LED 11W, 3000K, 1-fach asym. Refl., weiß  </v>
      </c>
      <c r="C2579" s="16">
        <v>322.5</v>
      </c>
      <c r="D2579" s="11">
        <v>270</v>
      </c>
      <c r="E2579" s="7">
        <f t="shared" si="116"/>
        <v>1</v>
      </c>
      <c r="F2579" s="22" t="str">
        <f>IF(ISERROR(VLOOKUP($A2579,#REF!,3,0)),"x",VLOOKUP($A2579,#REF!,3,FALSE))</f>
        <v>x</v>
      </c>
      <c r="G2579" s="9">
        <f t="shared" si="119"/>
        <v>1</v>
      </c>
      <c r="H2579" s="13">
        <f t="shared" si="120"/>
        <v>322.5</v>
      </c>
    </row>
    <row r="2580" spans="1:8" x14ac:dyDescent="0.25">
      <c r="A2580" s="2" t="str">
        <f>"WASH22P-1WW6"</f>
        <v>WASH22P-1WW6</v>
      </c>
      <c r="B2580" s="2" t="str">
        <f>"1309AN3K Wash 22 Wandaußenleuchte, LED 11W, 3000K, 1-fach asym. Refl., anthrazit"</f>
        <v>1309AN3K Wash 22 Wandaußenleuchte, LED 11W, 3000K, 1-fach asym. Refl., anthrazit</v>
      </c>
      <c r="C2580" s="16">
        <v>322.5</v>
      </c>
      <c r="D2580" s="11">
        <v>270</v>
      </c>
      <c r="E2580" s="7">
        <f t="shared" si="116"/>
        <v>1</v>
      </c>
      <c r="F2580" s="22" t="str">
        <f>IF(ISERROR(VLOOKUP($A2580,#REF!,3,0)),"x",VLOOKUP($A2580,#REF!,3,FALSE))</f>
        <v>x</v>
      </c>
      <c r="G2580" s="9">
        <f t="shared" si="119"/>
        <v>1</v>
      </c>
      <c r="H2580" s="13">
        <f t="shared" si="120"/>
        <v>322.5</v>
      </c>
    </row>
    <row r="2581" spans="1:8" x14ac:dyDescent="0.25">
      <c r="A2581" s="2" t="str">
        <f>"WASH22P-1WW7"</f>
        <v>WASH22P-1WW7</v>
      </c>
      <c r="B2581" s="2" t="str">
        <f>"1309AG3K Wash 22 Wandaußenleuchte, LED 11W, 3000K, 1-fach asym. Refl., alugrau"</f>
        <v>1309AG3K Wash 22 Wandaußenleuchte, LED 11W, 3000K, 1-fach asym. Refl., alugrau</v>
      </c>
      <c r="C2581" s="16">
        <v>322.5</v>
      </c>
      <c r="D2581" s="11">
        <v>270</v>
      </c>
      <c r="E2581" s="7">
        <f t="shared" si="116"/>
        <v>1</v>
      </c>
      <c r="F2581" s="22" t="str">
        <f>IF(ISERROR(VLOOKUP($A2581,#REF!,3,0)),"x",VLOOKUP($A2581,#REF!,3,FALSE))</f>
        <v>x</v>
      </c>
      <c r="G2581" s="9">
        <f t="shared" si="119"/>
        <v>1</v>
      </c>
      <c r="H2581" s="13">
        <f t="shared" si="120"/>
        <v>322.5</v>
      </c>
    </row>
    <row r="2582" spans="1:8" x14ac:dyDescent="0.25">
      <c r="A2582" s="2" t="str">
        <f>"WASH22P-2NW1"</f>
        <v>WASH22P-2NW1</v>
      </c>
      <c r="B2582" s="2" t="str">
        <f>"1308BI4K Wash 22 Wandaußenleuchte, LED 2x11W, 4000K, 2-fach asym., weiß  "</f>
        <v xml:space="preserve">1308BI4K Wash 22 Wandaußenleuchte, LED 2x11W, 4000K, 2-fach asym., weiß  </v>
      </c>
      <c r="C2582" s="16">
        <v>445</v>
      </c>
      <c r="D2582" s="11">
        <v>270</v>
      </c>
      <c r="E2582" s="7">
        <f t="shared" si="116"/>
        <v>1</v>
      </c>
      <c r="F2582" s="22" t="str">
        <f>IF(ISERROR(VLOOKUP($A2582,#REF!,3,0)),"x",VLOOKUP($A2582,#REF!,3,FALSE))</f>
        <v>x</v>
      </c>
      <c r="G2582" s="9">
        <f t="shared" si="119"/>
        <v>1</v>
      </c>
      <c r="H2582" s="13">
        <f t="shared" si="120"/>
        <v>445</v>
      </c>
    </row>
    <row r="2583" spans="1:8" x14ac:dyDescent="0.25">
      <c r="A2583" s="2" t="str">
        <f>"WASH22P-2NW6"</f>
        <v>WASH22P-2NW6</v>
      </c>
      <c r="B2583" s="2" t="str">
        <f>"1308AN4K Wash 22 Wandaußenleuchte, LED 2x11W, 4000K, 2-fach asym., anthrazit"</f>
        <v>1308AN4K Wash 22 Wandaußenleuchte, LED 2x11W, 4000K, 2-fach asym., anthrazit</v>
      </c>
      <c r="C2583" s="16">
        <v>445</v>
      </c>
      <c r="D2583" s="11">
        <v>270</v>
      </c>
      <c r="E2583" s="7">
        <f t="shared" si="116"/>
        <v>1</v>
      </c>
      <c r="F2583" s="22" t="str">
        <f>IF(ISERROR(VLOOKUP($A2583,#REF!,3,0)),"x",VLOOKUP($A2583,#REF!,3,FALSE))</f>
        <v>x</v>
      </c>
      <c r="G2583" s="9">
        <f t="shared" si="119"/>
        <v>1</v>
      </c>
      <c r="H2583" s="13">
        <f t="shared" si="120"/>
        <v>445</v>
      </c>
    </row>
    <row r="2584" spans="1:8" x14ac:dyDescent="0.25">
      <c r="A2584" s="2" t="str">
        <f>"WASH22P-2NW7"</f>
        <v>WASH22P-2NW7</v>
      </c>
      <c r="B2584" s="2" t="str">
        <f>"1308AG4K Wash 22 Wandaußenleuchte, LED 2x11W, 4000K, 2-fach asym., aluminiumgrau"</f>
        <v>1308AG4K Wash 22 Wandaußenleuchte, LED 2x11W, 4000K, 2-fach asym., aluminiumgrau</v>
      </c>
      <c r="C2584" s="16">
        <v>445</v>
      </c>
      <c r="D2584" s="11">
        <v>270</v>
      </c>
      <c r="E2584" s="7">
        <f t="shared" si="116"/>
        <v>1</v>
      </c>
      <c r="F2584" s="22" t="str">
        <f>IF(ISERROR(VLOOKUP($A2584,#REF!,3,0)),"x",VLOOKUP($A2584,#REF!,3,FALSE))</f>
        <v>x</v>
      </c>
      <c r="G2584" s="9">
        <f t="shared" si="119"/>
        <v>1</v>
      </c>
      <c r="H2584" s="13">
        <f t="shared" si="120"/>
        <v>445</v>
      </c>
    </row>
    <row r="2585" spans="1:8" x14ac:dyDescent="0.25">
      <c r="A2585" s="2" t="str">
        <f>"WASH22P-2WW1"</f>
        <v>WASH22P-2WW1</v>
      </c>
      <c r="B2585" s="2" t="str">
        <f>"1308BI3K Wash 22 Wandaußenleuchte, LED 2x11W, 3000K, 2-fach asym., weiß  "</f>
        <v xml:space="preserve">1308BI3K Wash 22 Wandaußenleuchte, LED 2x11W, 3000K, 2-fach asym., weiß  </v>
      </c>
      <c r="C2585" s="16">
        <v>445</v>
      </c>
      <c r="D2585" s="11">
        <v>270</v>
      </c>
      <c r="E2585" s="7">
        <f t="shared" si="116"/>
        <v>1</v>
      </c>
      <c r="F2585" s="22" t="str">
        <f>IF(ISERROR(VLOOKUP($A2585,#REF!,3,0)),"x",VLOOKUP($A2585,#REF!,3,FALSE))</f>
        <v>x</v>
      </c>
      <c r="G2585" s="9">
        <f t="shared" si="119"/>
        <v>1</v>
      </c>
      <c r="H2585" s="13">
        <f t="shared" si="120"/>
        <v>445</v>
      </c>
    </row>
    <row r="2586" spans="1:8" x14ac:dyDescent="0.25">
      <c r="A2586" s="2" t="str">
        <f>"WASH22P-2WW6"</f>
        <v>WASH22P-2WW6</v>
      </c>
      <c r="B2586" s="2" t="str">
        <f>"1308AN3K Wash 22 Wandaußenleuchte, LED 2x11W, 3000K, 2-fach asym., anthrazit"</f>
        <v>1308AN3K Wash 22 Wandaußenleuchte, LED 2x11W, 3000K, 2-fach asym., anthrazit</v>
      </c>
      <c r="C2586" s="16">
        <v>445</v>
      </c>
      <c r="D2586" s="11">
        <v>270</v>
      </c>
      <c r="E2586" s="7">
        <f t="shared" si="116"/>
        <v>1</v>
      </c>
      <c r="F2586" s="22" t="str">
        <f>IF(ISERROR(VLOOKUP($A2586,#REF!,3,0)),"x",VLOOKUP($A2586,#REF!,3,FALSE))</f>
        <v>x</v>
      </c>
      <c r="G2586" s="9">
        <f t="shared" si="119"/>
        <v>1</v>
      </c>
      <c r="H2586" s="13">
        <f t="shared" si="120"/>
        <v>445</v>
      </c>
    </row>
    <row r="2587" spans="1:8" x14ac:dyDescent="0.25">
      <c r="A2587" s="2" t="str">
        <f>"WASH22P-2WW7"</f>
        <v>WASH22P-2WW7</v>
      </c>
      <c r="B2587" s="2" t="str">
        <f>"1308AG3K Wash 22 Wandaußenleuchte, LED 2x11W, 3000K, 2-fach asym., aluminiumgrau"</f>
        <v>1308AG3K Wash 22 Wandaußenleuchte, LED 2x11W, 3000K, 2-fach asym., aluminiumgrau</v>
      </c>
      <c r="C2587" s="16">
        <v>445</v>
      </c>
      <c r="D2587" s="11">
        <v>270</v>
      </c>
      <c r="E2587" s="7">
        <f t="shared" si="116"/>
        <v>1</v>
      </c>
      <c r="F2587" s="22" t="str">
        <f>IF(ISERROR(VLOOKUP($A2587,#REF!,3,0)),"x",VLOOKUP($A2587,#REF!,3,FALSE))</f>
        <v>x</v>
      </c>
      <c r="G2587" s="9">
        <f t="shared" si="119"/>
        <v>1</v>
      </c>
      <c r="H2587" s="13">
        <f t="shared" si="120"/>
        <v>445</v>
      </c>
    </row>
    <row r="2588" spans="1:8" x14ac:dyDescent="0.25">
      <c r="A2588" s="2" t="str">
        <f>"WASH24-1811"</f>
        <v>WASH24-1811</v>
      </c>
      <c r="B2588" s="2" t="str">
        <f>"1325BI Wash 24 Wandaußenleuchte, E27, 1-fach, weiß"</f>
        <v>1325BI Wash 24 Wandaußenleuchte, E27, 1-fach, weiß</v>
      </c>
      <c r="C2588" s="16">
        <v>219</v>
      </c>
      <c r="D2588" s="11">
        <v>271</v>
      </c>
      <c r="E2588" s="7">
        <f t="shared" si="116"/>
        <v>1</v>
      </c>
      <c r="F2588" s="22" t="str">
        <f>IF(ISERROR(VLOOKUP($A2588,#REF!,3,0)),"x",VLOOKUP($A2588,#REF!,3,FALSE))</f>
        <v>x</v>
      </c>
      <c r="G2588" s="9">
        <f t="shared" si="119"/>
        <v>1</v>
      </c>
      <c r="H2588" s="13">
        <f t="shared" si="120"/>
        <v>219</v>
      </c>
    </row>
    <row r="2589" spans="1:8" x14ac:dyDescent="0.25">
      <c r="A2589" s="2" t="str">
        <f>"WASH24-1816"</f>
        <v>WASH24-1816</v>
      </c>
      <c r="B2589" s="2" t="str">
        <f>"1325AN Wash 24 Wandaußenleuchte, E27, 1-fach, anthrazit "</f>
        <v xml:space="preserve">1325AN Wash 24 Wandaußenleuchte, E27, 1-fach, anthrazit </v>
      </c>
      <c r="C2589" s="16">
        <v>219</v>
      </c>
      <c r="D2589" s="11">
        <v>271</v>
      </c>
      <c r="E2589" s="7">
        <f t="shared" si="116"/>
        <v>1</v>
      </c>
      <c r="F2589" s="22" t="str">
        <f>IF(ISERROR(VLOOKUP($A2589,#REF!,3,0)),"x",VLOOKUP($A2589,#REF!,3,FALSE))</f>
        <v>x</v>
      </c>
      <c r="G2589" s="9">
        <f t="shared" si="119"/>
        <v>1</v>
      </c>
      <c r="H2589" s="13">
        <f t="shared" si="120"/>
        <v>219</v>
      </c>
    </row>
    <row r="2590" spans="1:8" x14ac:dyDescent="0.25">
      <c r="A2590" s="2" t="str">
        <f>"WASH24-1817"</f>
        <v>WASH24-1817</v>
      </c>
      <c r="B2590" s="2" t="str">
        <f>"1325AG Wash 24 Wandaußenleuchte, E27, 1-fach, aluminiumgrau "</f>
        <v xml:space="preserve">1325AG Wash 24 Wandaußenleuchte, E27, 1-fach, aluminiumgrau </v>
      </c>
      <c r="C2590" s="16">
        <v>219</v>
      </c>
      <c r="D2590" s="11">
        <v>271</v>
      </c>
      <c r="E2590" s="7">
        <f t="shared" si="116"/>
        <v>1</v>
      </c>
      <c r="F2590" s="22" t="str">
        <f>IF(ISERROR(VLOOKUP($A2590,#REF!,3,0)),"x",VLOOKUP($A2590,#REF!,3,FALSE))</f>
        <v>x</v>
      </c>
      <c r="G2590" s="9">
        <f t="shared" si="119"/>
        <v>1</v>
      </c>
      <c r="H2590" s="13">
        <f t="shared" si="120"/>
        <v>219</v>
      </c>
    </row>
    <row r="2591" spans="1:8" x14ac:dyDescent="0.25">
      <c r="A2591" s="2" t="str">
        <f>"WASH24-1821"</f>
        <v>WASH24-1821</v>
      </c>
      <c r="B2591" s="2" t="str">
        <f>"1322BI Wash 24 Wandaußenleuchte, E27, 2-fach, weiß"</f>
        <v>1322BI Wash 24 Wandaußenleuchte, E27, 2-fach, weiß</v>
      </c>
      <c r="C2591" s="16">
        <v>245</v>
      </c>
      <c r="D2591" s="11">
        <v>271</v>
      </c>
      <c r="E2591" s="7">
        <f t="shared" si="116"/>
        <v>1</v>
      </c>
      <c r="F2591" s="22" t="str">
        <f>IF(ISERROR(VLOOKUP($A2591,#REF!,3,0)),"x",VLOOKUP($A2591,#REF!,3,FALSE))</f>
        <v>x</v>
      </c>
      <c r="G2591" s="9">
        <f t="shared" si="119"/>
        <v>1</v>
      </c>
      <c r="H2591" s="13">
        <f t="shared" si="120"/>
        <v>245</v>
      </c>
    </row>
    <row r="2592" spans="1:8" x14ac:dyDescent="0.25">
      <c r="A2592" s="2" t="str">
        <f>"WASH24-1826"</f>
        <v>WASH24-1826</v>
      </c>
      <c r="B2592" s="2" t="str">
        <f>"1322AN Wash 24 Wandaußenleuchte, E27, 2-fach, anthrazit "</f>
        <v xml:space="preserve">1322AN Wash 24 Wandaußenleuchte, E27, 2-fach, anthrazit </v>
      </c>
      <c r="C2592" s="16">
        <v>245</v>
      </c>
      <c r="D2592" s="11">
        <v>271</v>
      </c>
      <c r="E2592" s="7">
        <f t="shared" si="116"/>
        <v>1</v>
      </c>
      <c r="F2592" s="22" t="str">
        <f>IF(ISERROR(VLOOKUP($A2592,#REF!,3,0)),"x",VLOOKUP($A2592,#REF!,3,FALSE))</f>
        <v>x</v>
      </c>
      <c r="G2592" s="9">
        <f t="shared" si="119"/>
        <v>1</v>
      </c>
      <c r="H2592" s="13">
        <f t="shared" si="120"/>
        <v>245</v>
      </c>
    </row>
    <row r="2593" spans="1:8" x14ac:dyDescent="0.25">
      <c r="A2593" s="2" t="str">
        <f>"WASH24-1827"</f>
        <v>WASH24-1827</v>
      </c>
      <c r="B2593" s="2" t="str">
        <f>"1322AG Wash 24 Wandaußenleuchte, E27, 2-fach, aluminiumgrau"</f>
        <v>1322AG Wash 24 Wandaußenleuchte, E27, 2-fach, aluminiumgrau</v>
      </c>
      <c r="C2593" s="16">
        <v>245</v>
      </c>
      <c r="D2593" s="11">
        <v>271</v>
      </c>
      <c r="E2593" s="7">
        <f t="shared" si="116"/>
        <v>1</v>
      </c>
      <c r="F2593" s="22" t="str">
        <f>IF(ISERROR(VLOOKUP($A2593,#REF!,3,0)),"x",VLOOKUP($A2593,#REF!,3,FALSE))</f>
        <v>x</v>
      </c>
      <c r="G2593" s="9">
        <f t="shared" si="119"/>
        <v>1</v>
      </c>
      <c r="H2593" s="13">
        <f t="shared" si="120"/>
        <v>245</v>
      </c>
    </row>
    <row r="2594" spans="1:8" x14ac:dyDescent="0.25">
      <c r="A2594" s="2" t="str">
        <f>"WASH24-1NW1"</f>
        <v>WASH24-1NW1</v>
      </c>
      <c r="B2594" s="2" t="str">
        <f>"1324BI4K Wash 24 Wandaußenleuchte, LED 1x9W, 4000K, 1-fach, weiß"</f>
        <v>1324BI4K Wash 24 Wandaußenleuchte, LED 1x9W, 4000K, 1-fach, weiß</v>
      </c>
      <c r="C2594" s="16">
        <v>305</v>
      </c>
      <c r="D2594" s="11">
        <v>271</v>
      </c>
      <c r="E2594" s="7">
        <f t="shared" si="116"/>
        <v>1</v>
      </c>
      <c r="F2594" s="22" t="str">
        <f>IF(ISERROR(VLOOKUP($A2594,#REF!,3,0)),"x",VLOOKUP($A2594,#REF!,3,FALSE))</f>
        <v>x</v>
      </c>
      <c r="G2594" s="9">
        <f t="shared" si="119"/>
        <v>1</v>
      </c>
      <c r="H2594" s="13">
        <f t="shared" si="120"/>
        <v>305</v>
      </c>
    </row>
    <row r="2595" spans="1:8" x14ac:dyDescent="0.25">
      <c r="A2595" s="2" t="str">
        <f>"WASH24-1NW6"</f>
        <v>WASH24-1NW6</v>
      </c>
      <c r="B2595" s="2" t="str">
        <f>"1324GR4K Wash 24 Wandaußenleuchte, LED 1x9W, 4000K, 1-fach, anthrazit "</f>
        <v xml:space="preserve">1324GR4K Wash 24 Wandaußenleuchte, LED 1x9W, 4000K, 1-fach, anthrazit </v>
      </c>
      <c r="C2595" s="16">
        <v>305</v>
      </c>
      <c r="D2595" s="11">
        <v>271</v>
      </c>
      <c r="E2595" s="7">
        <f t="shared" si="116"/>
        <v>1</v>
      </c>
      <c r="F2595" s="22" t="str">
        <f>IF(ISERROR(VLOOKUP($A2595,#REF!,3,0)),"x",VLOOKUP($A2595,#REF!,3,FALSE))</f>
        <v>x</v>
      </c>
      <c r="G2595" s="9">
        <f t="shared" si="119"/>
        <v>1</v>
      </c>
      <c r="H2595" s="13">
        <f t="shared" si="120"/>
        <v>305</v>
      </c>
    </row>
    <row r="2596" spans="1:8" x14ac:dyDescent="0.25">
      <c r="A2596" s="2" t="str">
        <f>"WASH24-1NW7"</f>
        <v>WASH24-1NW7</v>
      </c>
      <c r="B2596" s="2" t="str">
        <f>"1324AG4K Wash 24 Wandaußenleuchte, LED 1x9W, 4000K, 1-fach, aluminiumgrau "</f>
        <v xml:space="preserve">1324AG4K Wash 24 Wandaußenleuchte, LED 1x9W, 4000K, 1-fach, aluminiumgrau </v>
      </c>
      <c r="C2596" s="16">
        <v>305</v>
      </c>
      <c r="D2596" s="11">
        <v>271</v>
      </c>
      <c r="E2596" s="7">
        <f t="shared" si="116"/>
        <v>1</v>
      </c>
      <c r="F2596" s="22" t="str">
        <f>IF(ISERROR(VLOOKUP($A2596,#REF!,3,0)),"x",VLOOKUP($A2596,#REF!,3,FALSE))</f>
        <v>x</v>
      </c>
      <c r="G2596" s="9">
        <f t="shared" si="119"/>
        <v>1</v>
      </c>
      <c r="H2596" s="13">
        <f t="shared" si="120"/>
        <v>305</v>
      </c>
    </row>
    <row r="2597" spans="1:8" x14ac:dyDescent="0.25">
      <c r="A2597" s="2" t="str">
        <f>"WASH24-1WW1"</f>
        <v>WASH24-1WW1</v>
      </c>
      <c r="B2597" s="2" t="str">
        <f>"1324BI3K Wash 24 Wandaußenleuchte, LED 1x9W, 3000K, 1-fach, weiß"</f>
        <v>1324BI3K Wash 24 Wandaußenleuchte, LED 1x9W, 3000K, 1-fach, weiß</v>
      </c>
      <c r="C2597" s="16">
        <v>305</v>
      </c>
      <c r="D2597" s="11">
        <v>271</v>
      </c>
      <c r="E2597" s="7">
        <f t="shared" si="116"/>
        <v>1</v>
      </c>
      <c r="F2597" s="22" t="str">
        <f>IF(ISERROR(VLOOKUP($A2597,#REF!,3,0)),"x",VLOOKUP($A2597,#REF!,3,FALSE))</f>
        <v>x</v>
      </c>
      <c r="G2597" s="9">
        <f t="shared" si="119"/>
        <v>1</v>
      </c>
      <c r="H2597" s="13">
        <f t="shared" si="120"/>
        <v>305</v>
      </c>
    </row>
    <row r="2598" spans="1:8" x14ac:dyDescent="0.25">
      <c r="A2598" s="2" t="str">
        <f>"WASH24-1WW6"</f>
        <v>WASH24-1WW6</v>
      </c>
      <c r="B2598" s="2" t="str">
        <f>"1324AN3K Wash 24 Wandaußenleuchte, LED 1x9W, 3000K, 1-fach, anthrazit "</f>
        <v xml:space="preserve">1324AN3K Wash 24 Wandaußenleuchte, LED 1x9W, 3000K, 1-fach, anthrazit </v>
      </c>
      <c r="C2598" s="16">
        <v>305</v>
      </c>
      <c r="D2598" s="11">
        <v>271</v>
      </c>
      <c r="E2598" s="7">
        <f t="shared" si="116"/>
        <v>1</v>
      </c>
      <c r="F2598" s="22" t="str">
        <f>IF(ISERROR(VLOOKUP($A2598,#REF!,3,0)),"x",VLOOKUP($A2598,#REF!,3,FALSE))</f>
        <v>x</v>
      </c>
      <c r="G2598" s="9">
        <f t="shared" si="119"/>
        <v>1</v>
      </c>
      <c r="H2598" s="13">
        <f t="shared" si="120"/>
        <v>305</v>
      </c>
    </row>
    <row r="2599" spans="1:8" x14ac:dyDescent="0.25">
      <c r="A2599" s="2" t="str">
        <f>"WASH24-1WW7"</f>
        <v>WASH24-1WW7</v>
      </c>
      <c r="B2599" s="2" t="str">
        <f>"1324AGK Wash 24 Wandaußenleuchte, LED 1x9W, 3000K, 1-fach, aluminiumgrau "</f>
        <v xml:space="preserve">1324AGK Wash 24 Wandaußenleuchte, LED 1x9W, 3000K, 1-fach, aluminiumgrau </v>
      </c>
      <c r="C2599" s="16">
        <v>305</v>
      </c>
      <c r="D2599" s="11">
        <v>271</v>
      </c>
      <c r="E2599" s="7">
        <f t="shared" si="116"/>
        <v>1</v>
      </c>
      <c r="F2599" s="22" t="str">
        <f>IF(ISERROR(VLOOKUP($A2599,#REF!,3,0)),"x",VLOOKUP($A2599,#REF!,3,FALSE))</f>
        <v>x</v>
      </c>
      <c r="G2599" s="9">
        <f t="shared" si="119"/>
        <v>1</v>
      </c>
      <c r="H2599" s="13">
        <f t="shared" si="120"/>
        <v>305</v>
      </c>
    </row>
    <row r="2600" spans="1:8" x14ac:dyDescent="0.25">
      <c r="A2600" s="2" t="str">
        <f>"WASH24-2NW1"</f>
        <v>WASH24-2NW1</v>
      </c>
      <c r="B2600" s="2" t="str">
        <f>"1321BI4K Wash 24 Wandaußenleuchte, LED 2x9W, 4000K, 2-fach, weiß"</f>
        <v>1321BI4K Wash 24 Wandaußenleuchte, LED 2x9W, 4000K, 2-fach, weiß</v>
      </c>
      <c r="C2600" s="16">
        <v>406.5</v>
      </c>
      <c r="D2600" s="11">
        <v>271</v>
      </c>
      <c r="E2600" s="7">
        <f t="shared" si="116"/>
        <v>1</v>
      </c>
      <c r="F2600" s="22" t="str">
        <f>IF(ISERROR(VLOOKUP($A2600,#REF!,3,0)),"x",VLOOKUP($A2600,#REF!,3,FALSE))</f>
        <v>x</v>
      </c>
      <c r="G2600" s="9">
        <f t="shared" si="119"/>
        <v>1</v>
      </c>
      <c r="H2600" s="13">
        <f t="shared" si="120"/>
        <v>406.5</v>
      </c>
    </row>
    <row r="2601" spans="1:8" x14ac:dyDescent="0.25">
      <c r="A2601" s="2" t="str">
        <f>"WASH24-2NW6"</f>
        <v>WASH24-2NW6</v>
      </c>
      <c r="B2601" s="2" t="str">
        <f>"1321AN4K Wash 24 Wandaußenleuchte, LED 2x9W, 4000K, 2-fach, anthrazit "</f>
        <v xml:space="preserve">1321AN4K Wash 24 Wandaußenleuchte, LED 2x9W, 4000K, 2-fach, anthrazit </v>
      </c>
      <c r="C2601" s="16">
        <v>406.5</v>
      </c>
      <c r="D2601" s="11">
        <v>271</v>
      </c>
      <c r="E2601" s="7">
        <f t="shared" si="116"/>
        <v>1</v>
      </c>
      <c r="F2601" s="22" t="str">
        <f>IF(ISERROR(VLOOKUP($A2601,#REF!,3,0)),"x",VLOOKUP($A2601,#REF!,3,FALSE))</f>
        <v>x</v>
      </c>
      <c r="G2601" s="9">
        <f t="shared" si="119"/>
        <v>1</v>
      </c>
      <c r="H2601" s="13">
        <f t="shared" si="120"/>
        <v>406.5</v>
      </c>
    </row>
    <row r="2602" spans="1:8" x14ac:dyDescent="0.25">
      <c r="A2602" s="2" t="str">
        <f>"WASH24-2NW7"</f>
        <v>WASH24-2NW7</v>
      </c>
      <c r="B2602" s="2" t="str">
        <f>"1321AG4K Wash 24 Wandaußenleuchte, LED 2x9W, 4000K, 2-fach, aluminiumgrau  "</f>
        <v xml:space="preserve">1321AG4K Wash 24 Wandaußenleuchte, LED 2x9W, 4000K, 2-fach, aluminiumgrau  </v>
      </c>
      <c r="C2602" s="16">
        <v>406.5</v>
      </c>
      <c r="D2602" s="11">
        <v>271</v>
      </c>
      <c r="E2602" s="7">
        <f t="shared" si="116"/>
        <v>1</v>
      </c>
      <c r="F2602" s="22" t="str">
        <f>IF(ISERROR(VLOOKUP($A2602,#REF!,3,0)),"x",VLOOKUP($A2602,#REF!,3,FALSE))</f>
        <v>x</v>
      </c>
      <c r="G2602" s="9">
        <f t="shared" si="119"/>
        <v>1</v>
      </c>
      <c r="H2602" s="13">
        <f t="shared" si="120"/>
        <v>406.5</v>
      </c>
    </row>
    <row r="2603" spans="1:8" x14ac:dyDescent="0.25">
      <c r="A2603" s="2" t="str">
        <f>"WASH24-2WW1"</f>
        <v>WASH24-2WW1</v>
      </c>
      <c r="B2603" s="2" t="str">
        <f>"1321BI3K Wash 24 Wandaußenleuchte, LED 2x9W, 3000K, 2-fach, weiß"</f>
        <v>1321BI3K Wash 24 Wandaußenleuchte, LED 2x9W, 3000K, 2-fach, weiß</v>
      </c>
      <c r="C2603" s="16">
        <v>406.5</v>
      </c>
      <c r="D2603" s="11">
        <v>271</v>
      </c>
      <c r="E2603" s="7">
        <f t="shared" si="116"/>
        <v>1</v>
      </c>
      <c r="F2603" s="22" t="str">
        <f>IF(ISERROR(VLOOKUP($A2603,#REF!,3,0)),"x",VLOOKUP($A2603,#REF!,3,FALSE))</f>
        <v>x</v>
      </c>
      <c r="G2603" s="9">
        <f t="shared" si="119"/>
        <v>1</v>
      </c>
      <c r="H2603" s="13">
        <f t="shared" si="120"/>
        <v>406.5</v>
      </c>
    </row>
    <row r="2604" spans="1:8" x14ac:dyDescent="0.25">
      <c r="A2604" s="2" t="str">
        <f>"WASH24-2WW6"</f>
        <v>WASH24-2WW6</v>
      </c>
      <c r="B2604" s="2" t="str">
        <f>"1321ANK Wash 24 Wandaußenleuchte, LED 2x9W, 3000K, 2-fach, anthrazit"</f>
        <v>1321ANK Wash 24 Wandaußenleuchte, LED 2x9W, 3000K, 2-fach, anthrazit</v>
      </c>
      <c r="C2604" s="16">
        <v>406.5</v>
      </c>
      <c r="D2604" s="11">
        <v>271</v>
      </c>
      <c r="E2604" s="7">
        <f t="shared" si="116"/>
        <v>1</v>
      </c>
      <c r="F2604" s="22" t="str">
        <f>IF(ISERROR(VLOOKUP($A2604,#REF!,3,0)),"x",VLOOKUP($A2604,#REF!,3,FALSE))</f>
        <v>x</v>
      </c>
      <c r="G2604" s="9">
        <f t="shared" si="119"/>
        <v>1</v>
      </c>
      <c r="H2604" s="13">
        <f t="shared" si="120"/>
        <v>406.5</v>
      </c>
    </row>
    <row r="2605" spans="1:8" x14ac:dyDescent="0.25">
      <c r="A2605" s="2" t="str">
        <f>"WASH24-2WW7"</f>
        <v>WASH24-2WW7</v>
      </c>
      <c r="B2605" s="2" t="str">
        <f>"1321AG3K Wash 24 Wandaußenleuchte, LED 2x9W, 3000K, 2-fach, aluminiumgrau "</f>
        <v xml:space="preserve">1321AG3K Wash 24 Wandaußenleuchte, LED 2x9W, 3000K, 2-fach, aluminiumgrau </v>
      </c>
      <c r="C2605" s="16">
        <v>406.5</v>
      </c>
      <c r="D2605" s="11">
        <v>271</v>
      </c>
      <c r="E2605" s="7">
        <f t="shared" si="116"/>
        <v>1</v>
      </c>
      <c r="F2605" s="22" t="str">
        <f>IF(ISERROR(VLOOKUP($A2605,#REF!,3,0)),"x",VLOOKUP($A2605,#REF!,3,FALSE))</f>
        <v>x</v>
      </c>
      <c r="G2605" s="9">
        <f t="shared" si="119"/>
        <v>1</v>
      </c>
      <c r="H2605" s="13">
        <f t="shared" si="120"/>
        <v>406.5</v>
      </c>
    </row>
    <row r="2606" spans="1:8" x14ac:dyDescent="0.25">
      <c r="A2606" s="2" t="str">
        <f>"WASH24P-1NW1"</f>
        <v>WASH24P-1NW1</v>
      </c>
      <c r="B2606" s="2" t="str">
        <f>"1328BI4K Wash 24 Wandaußenleuchte, LED 11W, 4000K, 1-fach, weiß  "</f>
        <v xml:space="preserve">1328BI4K Wash 24 Wandaußenleuchte, LED 11W, 4000K, 1-fach, weiß  </v>
      </c>
      <c r="C2606" s="16">
        <v>347.5</v>
      </c>
      <c r="D2606" s="11">
        <v>271</v>
      </c>
      <c r="E2606" s="7">
        <f t="shared" si="116"/>
        <v>1</v>
      </c>
      <c r="F2606" s="22" t="str">
        <f>IF(ISERROR(VLOOKUP($A2606,#REF!,3,0)),"x",VLOOKUP($A2606,#REF!,3,FALSE))</f>
        <v>x</v>
      </c>
      <c r="G2606" s="9">
        <f t="shared" si="119"/>
        <v>1</v>
      </c>
      <c r="H2606" s="13">
        <f t="shared" si="120"/>
        <v>347.5</v>
      </c>
    </row>
    <row r="2607" spans="1:8" x14ac:dyDescent="0.25">
      <c r="A2607" s="2" t="str">
        <f>"WASH24P-1NW6"</f>
        <v>WASH24P-1NW6</v>
      </c>
      <c r="B2607" s="2" t="str">
        <f>"1328AN4K Wash 24 Wandaußenleuchte, LED 11W, 4000K, 1-fach, anthrazit "</f>
        <v xml:space="preserve">1328AN4K Wash 24 Wandaußenleuchte, LED 11W, 4000K, 1-fach, anthrazit </v>
      </c>
      <c r="C2607" s="16">
        <v>347.5</v>
      </c>
      <c r="D2607" s="11">
        <v>271</v>
      </c>
      <c r="E2607" s="7">
        <f t="shared" si="116"/>
        <v>1</v>
      </c>
      <c r="F2607" s="22" t="str">
        <f>IF(ISERROR(VLOOKUP($A2607,#REF!,3,0)),"x",VLOOKUP($A2607,#REF!,3,FALSE))</f>
        <v>x</v>
      </c>
      <c r="G2607" s="9">
        <f t="shared" si="119"/>
        <v>1</v>
      </c>
      <c r="H2607" s="13">
        <f t="shared" si="120"/>
        <v>347.5</v>
      </c>
    </row>
    <row r="2608" spans="1:8" x14ac:dyDescent="0.25">
      <c r="A2608" s="2" t="str">
        <f>"WASH24P-1NW7"</f>
        <v>WASH24P-1NW7</v>
      </c>
      <c r="B2608" s="2" t="str">
        <f>"1328AG4K Wash 24 Wandaußenleuchte, LED 11W, 4000K, 1-fach, aluminiumgrau "</f>
        <v xml:space="preserve">1328AG4K Wash 24 Wandaußenleuchte, LED 11W, 4000K, 1-fach, aluminiumgrau </v>
      </c>
      <c r="C2608" s="16">
        <v>347.5</v>
      </c>
      <c r="D2608" s="11">
        <v>271</v>
      </c>
      <c r="E2608" s="7">
        <f t="shared" si="116"/>
        <v>1</v>
      </c>
      <c r="F2608" s="22" t="str">
        <f>IF(ISERROR(VLOOKUP($A2608,#REF!,3,0)),"x",VLOOKUP($A2608,#REF!,3,FALSE))</f>
        <v>x</v>
      </c>
      <c r="G2608" s="9">
        <f t="shared" si="119"/>
        <v>1</v>
      </c>
      <c r="H2608" s="13">
        <f t="shared" si="120"/>
        <v>347.5</v>
      </c>
    </row>
    <row r="2609" spans="1:8" x14ac:dyDescent="0.25">
      <c r="A2609" s="2" t="str">
        <f>"WASH24P-1WW1"</f>
        <v>WASH24P-1WW1</v>
      </c>
      <c r="B2609" s="2" t="str">
        <f>"1328BI3K Wash 24 Wandaußenleuchte, LED 11W, 3000K, 1-fach, weiß  "</f>
        <v xml:space="preserve">1328BI3K Wash 24 Wandaußenleuchte, LED 11W, 3000K, 1-fach, weiß  </v>
      </c>
      <c r="C2609" s="16">
        <v>347.5</v>
      </c>
      <c r="D2609" s="11">
        <v>271</v>
      </c>
      <c r="E2609" s="7">
        <f t="shared" si="116"/>
        <v>1</v>
      </c>
      <c r="F2609" s="22" t="str">
        <f>IF(ISERROR(VLOOKUP($A2609,#REF!,3,0)),"x",VLOOKUP($A2609,#REF!,3,FALSE))</f>
        <v>x</v>
      </c>
      <c r="G2609" s="9">
        <f t="shared" si="119"/>
        <v>1</v>
      </c>
      <c r="H2609" s="13">
        <f t="shared" si="120"/>
        <v>347.5</v>
      </c>
    </row>
    <row r="2610" spans="1:8" x14ac:dyDescent="0.25">
      <c r="A2610" s="2" t="str">
        <f>"WASH24P-1WW6"</f>
        <v>WASH24P-1WW6</v>
      </c>
      <c r="B2610" s="2" t="str">
        <f>"1328GR3K Wash 24 Wandaußenleuchte, LED 11W, 3000K, 1-fach, anthrazit  "</f>
        <v xml:space="preserve">1328GR3K Wash 24 Wandaußenleuchte, LED 11W, 3000K, 1-fach, anthrazit  </v>
      </c>
      <c r="C2610" s="16">
        <v>347.5</v>
      </c>
      <c r="D2610" s="11">
        <v>271</v>
      </c>
      <c r="E2610" s="7">
        <f t="shared" si="116"/>
        <v>1</v>
      </c>
      <c r="F2610" s="22" t="str">
        <f>IF(ISERROR(VLOOKUP($A2610,#REF!,3,0)),"x",VLOOKUP($A2610,#REF!,3,FALSE))</f>
        <v>x</v>
      </c>
      <c r="G2610" s="9">
        <f t="shared" si="119"/>
        <v>1</v>
      </c>
      <c r="H2610" s="13">
        <f t="shared" si="120"/>
        <v>347.5</v>
      </c>
    </row>
    <row r="2611" spans="1:8" x14ac:dyDescent="0.25">
      <c r="A2611" s="2" t="str">
        <f>"WASH24P-1WW7"</f>
        <v>WASH24P-1WW7</v>
      </c>
      <c r="B2611" s="2" t="str">
        <f>"1328GM3K Wash 24 Wandaußenleuchte, LED 11W, 3000K, 1-fach, aluminiumgrau "</f>
        <v xml:space="preserve">1328GM3K Wash 24 Wandaußenleuchte, LED 11W, 3000K, 1-fach, aluminiumgrau </v>
      </c>
      <c r="C2611" s="16">
        <v>347.5</v>
      </c>
      <c r="D2611" s="11">
        <v>271</v>
      </c>
      <c r="E2611" s="7">
        <f t="shared" si="116"/>
        <v>1</v>
      </c>
      <c r="F2611" s="22" t="str">
        <f>IF(ISERROR(VLOOKUP($A2611,#REF!,3,0)),"x",VLOOKUP($A2611,#REF!,3,FALSE))</f>
        <v>x</v>
      </c>
      <c r="G2611" s="9">
        <f t="shared" si="119"/>
        <v>1</v>
      </c>
      <c r="H2611" s="13">
        <f t="shared" si="120"/>
        <v>347.5</v>
      </c>
    </row>
    <row r="2612" spans="1:8" x14ac:dyDescent="0.25">
      <c r="A2612" s="2" t="str">
        <f>"WASH24P-2NW1"</f>
        <v>WASH24P-2NW1</v>
      </c>
      <c r="B2612" s="2" t="str">
        <f>"1327BI4K Wash 24 Wandaußenleuchte, LED 2x11W, 4000K, 2-fach, weiß"</f>
        <v>1327BI4K Wash 24 Wandaußenleuchte, LED 2x11W, 4000K, 2-fach, weiß</v>
      </c>
      <c r="C2612" s="16">
        <v>475</v>
      </c>
      <c r="D2612" s="11">
        <v>271</v>
      </c>
      <c r="E2612" s="7">
        <f t="shared" si="116"/>
        <v>1</v>
      </c>
      <c r="F2612" s="22" t="str">
        <f>IF(ISERROR(VLOOKUP($A2612,#REF!,3,0)),"x",VLOOKUP($A2612,#REF!,3,FALSE))</f>
        <v>x</v>
      </c>
      <c r="G2612" s="9">
        <f t="shared" si="119"/>
        <v>1</v>
      </c>
      <c r="H2612" s="13">
        <f t="shared" si="120"/>
        <v>475</v>
      </c>
    </row>
    <row r="2613" spans="1:8" x14ac:dyDescent="0.25">
      <c r="A2613" s="2" t="str">
        <f>"WASH24P-2NW6"</f>
        <v>WASH24P-2NW6</v>
      </c>
      <c r="B2613" s="2" t="str">
        <f>"1327AN4K Wash 24 Wandaußenleuchte, LED 2x11W, 4000K, 2-fach, anthrazit "</f>
        <v xml:space="preserve">1327AN4K Wash 24 Wandaußenleuchte, LED 2x11W, 4000K, 2-fach, anthrazit </v>
      </c>
      <c r="C2613" s="16">
        <v>475</v>
      </c>
      <c r="D2613" s="11">
        <v>271</v>
      </c>
      <c r="E2613" s="7">
        <f t="shared" si="116"/>
        <v>1</v>
      </c>
      <c r="F2613" s="22" t="str">
        <f>IF(ISERROR(VLOOKUP($A2613,#REF!,3,0)),"x",VLOOKUP($A2613,#REF!,3,FALSE))</f>
        <v>x</v>
      </c>
      <c r="G2613" s="9">
        <f t="shared" si="119"/>
        <v>1</v>
      </c>
      <c r="H2613" s="13">
        <f t="shared" si="120"/>
        <v>475</v>
      </c>
    </row>
    <row r="2614" spans="1:8" x14ac:dyDescent="0.25">
      <c r="A2614" s="2" t="str">
        <f>"WASH24P-2NW7"</f>
        <v>WASH24P-2NW7</v>
      </c>
      <c r="B2614" s="2" t="str">
        <f>"1327AG4K Wash 24 Wandaußenleuchte, LED 2x11W, 4000K, 2-fach, aluminiumgrau "</f>
        <v xml:space="preserve">1327AG4K Wash 24 Wandaußenleuchte, LED 2x11W, 4000K, 2-fach, aluminiumgrau </v>
      </c>
      <c r="C2614" s="16">
        <v>475</v>
      </c>
      <c r="D2614" s="11">
        <v>271</v>
      </c>
      <c r="E2614" s="7">
        <f t="shared" si="116"/>
        <v>1</v>
      </c>
      <c r="F2614" s="22" t="str">
        <f>IF(ISERROR(VLOOKUP($A2614,#REF!,3,0)),"x",VLOOKUP($A2614,#REF!,3,FALSE))</f>
        <v>x</v>
      </c>
      <c r="G2614" s="9">
        <f t="shared" si="119"/>
        <v>1</v>
      </c>
      <c r="H2614" s="13">
        <f t="shared" si="120"/>
        <v>475</v>
      </c>
    </row>
    <row r="2615" spans="1:8" x14ac:dyDescent="0.25">
      <c r="A2615" s="2" t="str">
        <f>"WASH24P-2WW1"</f>
        <v>WASH24P-2WW1</v>
      </c>
      <c r="B2615" s="2" t="str">
        <f>"1327BI3K Wash 24 Wandaußenleuchte, LED 2x11W, 3000K, 2-fach, weiß  "</f>
        <v xml:space="preserve">1327BI3K Wash 24 Wandaußenleuchte, LED 2x11W, 3000K, 2-fach, weiß  </v>
      </c>
      <c r="C2615" s="16">
        <v>475</v>
      </c>
      <c r="D2615" s="11">
        <v>271</v>
      </c>
      <c r="E2615" s="7">
        <f t="shared" si="116"/>
        <v>1</v>
      </c>
      <c r="F2615" s="22" t="str">
        <f>IF(ISERROR(VLOOKUP($A2615,#REF!,3,0)),"x",VLOOKUP($A2615,#REF!,3,FALSE))</f>
        <v>x</v>
      </c>
      <c r="G2615" s="9">
        <f t="shared" si="119"/>
        <v>1</v>
      </c>
      <c r="H2615" s="13">
        <f t="shared" si="120"/>
        <v>475</v>
      </c>
    </row>
    <row r="2616" spans="1:8" x14ac:dyDescent="0.25">
      <c r="A2616" s="2" t="str">
        <f>"WASH24P-2WW6"</f>
        <v>WASH24P-2WW6</v>
      </c>
      <c r="B2616" s="2" t="str">
        <f>"1327AN3K Wash 24 Wandaußenleuchte, LED 2x11W, 3000K, 2-fach, anthrazit "</f>
        <v xml:space="preserve">1327AN3K Wash 24 Wandaußenleuchte, LED 2x11W, 3000K, 2-fach, anthrazit </v>
      </c>
      <c r="C2616" s="16">
        <v>475</v>
      </c>
      <c r="D2616" s="11">
        <v>271</v>
      </c>
      <c r="E2616" s="7">
        <f t="shared" si="116"/>
        <v>1</v>
      </c>
      <c r="F2616" s="22" t="str">
        <f>IF(ISERROR(VLOOKUP($A2616,#REF!,3,0)),"x",VLOOKUP($A2616,#REF!,3,FALSE))</f>
        <v>x</v>
      </c>
      <c r="G2616" s="9">
        <f t="shared" si="119"/>
        <v>1</v>
      </c>
      <c r="H2616" s="13">
        <f t="shared" si="120"/>
        <v>475</v>
      </c>
    </row>
    <row r="2617" spans="1:8" x14ac:dyDescent="0.25">
      <c r="A2617" s="2" t="str">
        <f>"WASH24P-2WW7"</f>
        <v>WASH24P-2WW7</v>
      </c>
      <c r="B2617" s="2" t="str">
        <f>"1327AG3K Wash 24 Wandaußenleuchte, LED 2x11W, 3000K, 2-fach, aluminiumgrau"</f>
        <v>1327AG3K Wash 24 Wandaußenleuchte, LED 2x11W, 3000K, 2-fach, aluminiumgrau</v>
      </c>
      <c r="C2617" s="16">
        <v>475</v>
      </c>
      <c r="D2617" s="11">
        <v>271</v>
      </c>
      <c r="E2617" s="7">
        <f t="shared" si="116"/>
        <v>1</v>
      </c>
      <c r="F2617" s="22" t="str">
        <f>IF(ISERROR(VLOOKUP($A2617,#REF!,3,0)),"x",VLOOKUP($A2617,#REF!,3,FALSE))</f>
        <v>x</v>
      </c>
      <c r="G2617" s="9">
        <f t="shared" si="119"/>
        <v>1</v>
      </c>
      <c r="H2617" s="13">
        <f t="shared" si="120"/>
        <v>475</v>
      </c>
    </row>
    <row r="2618" spans="1:8" x14ac:dyDescent="0.25">
      <c r="A2618" s="2" t="str">
        <f>"WASH42-1NW1"</f>
        <v>WASH42-1NW1</v>
      </c>
      <c r="B2618" s="2" t="str">
        <f>"1312BI4K Wash 42 Wandaußenleuchte, LED 1x13W, 4000K, 1-fach, weiß"</f>
        <v>1312BI4K Wash 42 Wandaußenleuchte, LED 1x13W, 4000K, 1-fach, weiß</v>
      </c>
      <c r="C2618" s="16">
        <v>412.5</v>
      </c>
      <c r="D2618" s="11">
        <v>273</v>
      </c>
      <c r="E2618" s="7">
        <f t="shared" si="116"/>
        <v>1</v>
      </c>
      <c r="F2618" s="22" t="str">
        <f>IF(ISERROR(VLOOKUP($A2618,#REF!,3,0)),"x",VLOOKUP($A2618,#REF!,3,FALSE))</f>
        <v>x</v>
      </c>
      <c r="G2618" s="9">
        <f t="shared" si="119"/>
        <v>1</v>
      </c>
      <c r="H2618" s="13">
        <f t="shared" si="120"/>
        <v>412.5</v>
      </c>
    </row>
    <row r="2619" spans="1:8" x14ac:dyDescent="0.25">
      <c r="A2619" s="2" t="str">
        <f>"WASH42-1NW6"</f>
        <v>WASH42-1NW6</v>
      </c>
      <c r="B2619" s="2" t="str">
        <f>"1312AN4K Wash 42 Wandaußenleuchte, LED 1x13W, 4000K, 1-fach, anthrazit"</f>
        <v>1312AN4K Wash 42 Wandaußenleuchte, LED 1x13W, 4000K, 1-fach, anthrazit</v>
      </c>
      <c r="C2619" s="16">
        <v>412.5</v>
      </c>
      <c r="D2619" s="11">
        <v>273</v>
      </c>
      <c r="E2619" s="7">
        <f t="shared" si="116"/>
        <v>1</v>
      </c>
      <c r="F2619" s="22" t="str">
        <f>IF(ISERROR(VLOOKUP($A2619,#REF!,3,0)),"x",VLOOKUP($A2619,#REF!,3,FALSE))</f>
        <v>x</v>
      </c>
      <c r="G2619" s="9">
        <f t="shared" si="119"/>
        <v>1</v>
      </c>
      <c r="H2619" s="13">
        <f t="shared" si="120"/>
        <v>412.5</v>
      </c>
    </row>
    <row r="2620" spans="1:8" x14ac:dyDescent="0.25">
      <c r="A2620" s="2" t="str">
        <f>"WASH42-1NW7"</f>
        <v>WASH42-1NW7</v>
      </c>
      <c r="B2620" s="2" t="str">
        <f>"1312AG4K Wash 42 Wandaußenleuchte, LED 1x13W, 4000K, 1-fach, aluminiumgrau"</f>
        <v>1312AG4K Wash 42 Wandaußenleuchte, LED 1x13W, 4000K, 1-fach, aluminiumgrau</v>
      </c>
      <c r="C2620" s="16">
        <v>412.5</v>
      </c>
      <c r="D2620" s="11">
        <v>273</v>
      </c>
      <c r="E2620" s="7">
        <f t="shared" si="116"/>
        <v>1</v>
      </c>
      <c r="F2620" s="22" t="str">
        <f>IF(ISERROR(VLOOKUP($A2620,#REF!,3,0)),"x",VLOOKUP($A2620,#REF!,3,FALSE))</f>
        <v>x</v>
      </c>
      <c r="G2620" s="9">
        <f t="shared" si="119"/>
        <v>1</v>
      </c>
      <c r="H2620" s="13">
        <f t="shared" si="120"/>
        <v>412.5</v>
      </c>
    </row>
    <row r="2621" spans="1:8" x14ac:dyDescent="0.25">
      <c r="A2621" s="2" t="str">
        <f>"WASH42-1WW1"</f>
        <v>WASH42-1WW1</v>
      </c>
      <c r="B2621" s="2" t="str">
        <f>"1312BI3K Wash 42 Wandaußenleuchte, LED 1x13W, 3000K, 1-fach, weiß"</f>
        <v>1312BI3K Wash 42 Wandaußenleuchte, LED 1x13W, 3000K, 1-fach, weiß</v>
      </c>
      <c r="C2621" s="16">
        <v>412.5</v>
      </c>
      <c r="D2621" s="11">
        <v>273</v>
      </c>
      <c r="E2621" s="7">
        <f t="shared" si="116"/>
        <v>1</v>
      </c>
      <c r="F2621" s="22" t="str">
        <f>IF(ISERROR(VLOOKUP($A2621,#REF!,3,0)),"x",VLOOKUP($A2621,#REF!,3,FALSE))</f>
        <v>x</v>
      </c>
      <c r="G2621" s="9">
        <f t="shared" si="119"/>
        <v>1</v>
      </c>
      <c r="H2621" s="13">
        <f t="shared" si="120"/>
        <v>412.5</v>
      </c>
    </row>
    <row r="2622" spans="1:8" x14ac:dyDescent="0.25">
      <c r="A2622" s="2" t="str">
        <f>"WASH42-1WW6"</f>
        <v>WASH42-1WW6</v>
      </c>
      <c r="B2622" s="2" t="str">
        <f>"1312AN3K Wash 42 Wandaußenleuchte, LED 1x13W, 3000K, 1-fach, anthrazit"</f>
        <v>1312AN3K Wash 42 Wandaußenleuchte, LED 1x13W, 3000K, 1-fach, anthrazit</v>
      </c>
      <c r="C2622" s="16">
        <v>412.5</v>
      </c>
      <c r="D2622" s="11">
        <v>273</v>
      </c>
      <c r="E2622" s="7">
        <f t="shared" si="116"/>
        <v>1</v>
      </c>
      <c r="F2622" s="22" t="str">
        <f>IF(ISERROR(VLOOKUP($A2622,#REF!,3,0)),"x",VLOOKUP($A2622,#REF!,3,FALSE))</f>
        <v>x</v>
      </c>
      <c r="G2622" s="9">
        <f t="shared" si="119"/>
        <v>1</v>
      </c>
      <c r="H2622" s="13">
        <f t="shared" si="120"/>
        <v>412.5</v>
      </c>
    </row>
    <row r="2623" spans="1:8" x14ac:dyDescent="0.25">
      <c r="A2623" s="2" t="str">
        <f>"WASH42-1WW7"</f>
        <v>WASH42-1WW7</v>
      </c>
      <c r="B2623" s="2" t="str">
        <f>"1312AG3K Wash 42 Wandaußenleuchte, LED 1x13W, 3000K, 1-fach, aluminiumgrau "</f>
        <v xml:space="preserve">1312AG3K Wash 42 Wandaußenleuchte, LED 1x13W, 3000K, 1-fach, aluminiumgrau </v>
      </c>
      <c r="C2623" s="16">
        <v>412.5</v>
      </c>
      <c r="D2623" s="11">
        <v>273</v>
      </c>
      <c r="E2623" s="7">
        <f t="shared" si="116"/>
        <v>1</v>
      </c>
      <c r="F2623" s="22" t="str">
        <f>IF(ISERROR(VLOOKUP($A2623,#REF!,3,0)),"x",VLOOKUP($A2623,#REF!,3,FALSE))</f>
        <v>x</v>
      </c>
      <c r="G2623" s="9">
        <f t="shared" si="119"/>
        <v>1</v>
      </c>
      <c r="H2623" s="13">
        <f t="shared" si="120"/>
        <v>412.5</v>
      </c>
    </row>
    <row r="2624" spans="1:8" x14ac:dyDescent="0.25">
      <c r="A2624" s="2" t="str">
        <f>"WASH42-2NW1"</f>
        <v>WASH42-2NW1</v>
      </c>
      <c r="B2624" s="2" t="str">
        <f>"1311BI4K Wash 42 Wandaußenleuchte, LED 2x13W, 4000K, 2-fach, weiß"</f>
        <v>1311BI4K Wash 42 Wandaußenleuchte, LED 2x13W, 4000K, 2-fach, weiß</v>
      </c>
      <c r="C2624" s="16">
        <v>536.75</v>
      </c>
      <c r="D2624" s="11">
        <v>273</v>
      </c>
      <c r="E2624" s="7">
        <f t="shared" si="116"/>
        <v>1</v>
      </c>
      <c r="F2624" s="22" t="str">
        <f>IF(ISERROR(VLOOKUP($A2624,#REF!,3,0)),"x",VLOOKUP($A2624,#REF!,3,FALSE))</f>
        <v>x</v>
      </c>
      <c r="G2624" s="9">
        <f t="shared" si="119"/>
        <v>1</v>
      </c>
      <c r="H2624" s="13">
        <f t="shared" si="120"/>
        <v>536.75</v>
      </c>
    </row>
    <row r="2625" spans="1:8" x14ac:dyDescent="0.25">
      <c r="A2625" s="2" t="str">
        <f>"WASH42-2NW6"</f>
        <v>WASH42-2NW6</v>
      </c>
      <c r="B2625" s="2" t="str">
        <f>"1311AN4K Wash 42 Wandaußenleuchte, LED 2x13W, 4000K, 2-fach, anthrazit"</f>
        <v>1311AN4K Wash 42 Wandaußenleuchte, LED 2x13W, 4000K, 2-fach, anthrazit</v>
      </c>
      <c r="C2625" s="16">
        <v>536.75</v>
      </c>
      <c r="D2625" s="11">
        <v>273</v>
      </c>
      <c r="E2625" s="7">
        <f t="shared" si="116"/>
        <v>1</v>
      </c>
      <c r="F2625" s="22" t="str">
        <f>IF(ISERROR(VLOOKUP($A2625,#REF!,3,0)),"x",VLOOKUP($A2625,#REF!,3,FALSE))</f>
        <v>x</v>
      </c>
      <c r="G2625" s="9">
        <f t="shared" ref="G2625:G2687" si="121">IF(C2625&lt;F2625,1,IF(C2625&gt;F2625,-1,0))</f>
        <v>1</v>
      </c>
      <c r="H2625" s="13">
        <f t="shared" si="120"/>
        <v>536.75</v>
      </c>
    </row>
    <row r="2626" spans="1:8" x14ac:dyDescent="0.25">
      <c r="A2626" s="2" t="str">
        <f>"WASH42-2NW7"</f>
        <v>WASH42-2NW7</v>
      </c>
      <c r="B2626" s="2" t="str">
        <f>"1311AG4K Wash 42 Wandaußenleuchte, LED 2x13W, 4000K, 2-fach, aluminiumgrau"</f>
        <v>1311AG4K Wash 42 Wandaußenleuchte, LED 2x13W, 4000K, 2-fach, aluminiumgrau</v>
      </c>
      <c r="C2626" s="16">
        <v>536.75</v>
      </c>
      <c r="D2626" s="11">
        <v>273</v>
      </c>
      <c r="E2626" s="7">
        <f t="shared" si="116"/>
        <v>1</v>
      </c>
      <c r="F2626" s="22" t="str">
        <f>IF(ISERROR(VLOOKUP($A2626,#REF!,3,0)),"x",VLOOKUP($A2626,#REF!,3,FALSE))</f>
        <v>x</v>
      </c>
      <c r="G2626" s="9">
        <f t="shared" si="121"/>
        <v>1</v>
      </c>
      <c r="H2626" s="13">
        <f t="shared" si="120"/>
        <v>536.75</v>
      </c>
    </row>
    <row r="2627" spans="1:8" x14ac:dyDescent="0.25">
      <c r="A2627" s="2" t="str">
        <f>"WASH42-2WW1"</f>
        <v>WASH42-2WW1</v>
      </c>
      <c r="B2627" s="2" t="str">
        <f>"1311BI3K Wash 42 Wandaußenleuchte, LED 2x13W, 3000K, 2-fach, weiß"</f>
        <v>1311BI3K Wash 42 Wandaußenleuchte, LED 2x13W, 3000K, 2-fach, weiß</v>
      </c>
      <c r="C2627" s="16">
        <v>536.75</v>
      </c>
      <c r="D2627" s="11">
        <v>273</v>
      </c>
      <c r="E2627" s="7">
        <f t="shared" si="116"/>
        <v>1</v>
      </c>
      <c r="F2627" s="22" t="str">
        <f>IF(ISERROR(VLOOKUP($A2627,#REF!,3,0)),"x",VLOOKUP($A2627,#REF!,3,FALSE))</f>
        <v>x</v>
      </c>
      <c r="G2627" s="9">
        <f t="shared" si="121"/>
        <v>1</v>
      </c>
      <c r="H2627" s="13">
        <f t="shared" ref="H2627:H2689" si="122">IF(F2627="x",C2627,F2627)</f>
        <v>536.75</v>
      </c>
    </row>
    <row r="2628" spans="1:8" x14ac:dyDescent="0.25">
      <c r="A2628" s="2" t="str">
        <f>"WASH42-2WW6"</f>
        <v>WASH42-2WW6</v>
      </c>
      <c r="B2628" s="2" t="str">
        <f>"1311AN3K Wash 42 Wandaußenleuchte, LED 2x13W, 3000K, 2-fach, anthrazit"</f>
        <v>1311AN3K Wash 42 Wandaußenleuchte, LED 2x13W, 3000K, 2-fach, anthrazit</v>
      </c>
      <c r="C2628" s="16">
        <v>536.75</v>
      </c>
      <c r="D2628" s="11">
        <v>273</v>
      </c>
      <c r="E2628" s="7">
        <f t="shared" si="116"/>
        <v>1</v>
      </c>
      <c r="F2628" s="22" t="str">
        <f>IF(ISERROR(VLOOKUP($A2628,#REF!,3,0)),"x",VLOOKUP($A2628,#REF!,3,FALSE))</f>
        <v>x</v>
      </c>
      <c r="G2628" s="9">
        <f t="shared" si="121"/>
        <v>1</v>
      </c>
      <c r="H2628" s="13">
        <f t="shared" si="122"/>
        <v>536.75</v>
      </c>
    </row>
    <row r="2629" spans="1:8" x14ac:dyDescent="0.25">
      <c r="A2629" s="2" t="str">
        <f>"WASH42-2WW7"</f>
        <v>WASH42-2WW7</v>
      </c>
      <c r="B2629" s="2" t="str">
        <f>"1311AG3K Wash 42 Wandaußenleuchte, LED 2x13W, 3000K, 2-fach, aluminiumgrau"</f>
        <v>1311AG3K Wash 42 Wandaußenleuchte, LED 2x13W, 3000K, 2-fach, aluminiumgrau</v>
      </c>
      <c r="C2629" s="16">
        <v>536.75</v>
      </c>
      <c r="D2629" s="11">
        <v>273</v>
      </c>
      <c r="E2629" s="7">
        <f t="shared" si="116"/>
        <v>1</v>
      </c>
      <c r="F2629" s="22" t="str">
        <f>IF(ISERROR(VLOOKUP($A2629,#REF!,3,0)),"x",VLOOKUP($A2629,#REF!,3,FALSE))</f>
        <v>x</v>
      </c>
      <c r="G2629" s="9">
        <f t="shared" si="121"/>
        <v>1</v>
      </c>
      <c r="H2629" s="13">
        <f t="shared" si="122"/>
        <v>536.75</v>
      </c>
    </row>
    <row r="2630" spans="1:8" x14ac:dyDescent="0.25">
      <c r="A2630" s="2" t="str">
        <f>"WASH52-1NW1"</f>
        <v>WASH52-1NW1</v>
      </c>
      <c r="B2630" s="2" t="str">
        <f>"1333BI4K Wash 52 Wandaußenleuchte gebogen, LED 1x13W, 4000K, 1-fach, weiß"</f>
        <v>1333BI4K Wash 52 Wandaußenleuchte gebogen, LED 1x13W, 4000K, 1-fach, weiß</v>
      </c>
      <c r="C2630" s="16">
        <v>442.5</v>
      </c>
      <c r="D2630" s="11">
        <v>273</v>
      </c>
      <c r="E2630" s="7">
        <f t="shared" si="116"/>
        <v>1</v>
      </c>
      <c r="F2630" s="22" t="str">
        <f>IF(ISERROR(VLOOKUP($A2630,#REF!,3,0)),"x",VLOOKUP($A2630,#REF!,3,FALSE))</f>
        <v>x</v>
      </c>
      <c r="G2630" s="9">
        <f t="shared" si="121"/>
        <v>1</v>
      </c>
      <c r="H2630" s="13">
        <f t="shared" si="122"/>
        <v>442.5</v>
      </c>
    </row>
    <row r="2631" spans="1:8" x14ac:dyDescent="0.25">
      <c r="A2631" s="2" t="str">
        <f>"WASH52-1NW6"</f>
        <v>WASH52-1NW6</v>
      </c>
      <c r="B2631" s="2" t="str">
        <f>"1333AN4K Wash 52 Wandaußenleuchte gebogen, LED 1x13W, 4000K, 1-fach, anthrazit "</f>
        <v xml:space="preserve">1333AN4K Wash 52 Wandaußenleuchte gebogen, LED 1x13W, 4000K, 1-fach, anthrazit </v>
      </c>
      <c r="C2631" s="16">
        <v>442.5</v>
      </c>
      <c r="D2631" s="11">
        <v>273</v>
      </c>
      <c r="E2631" s="7">
        <f t="shared" si="116"/>
        <v>1</v>
      </c>
      <c r="F2631" s="22" t="str">
        <f>IF(ISERROR(VLOOKUP($A2631,#REF!,3,0)),"x",VLOOKUP($A2631,#REF!,3,FALSE))</f>
        <v>x</v>
      </c>
      <c r="G2631" s="9">
        <f t="shared" si="121"/>
        <v>1</v>
      </c>
      <c r="H2631" s="13">
        <f t="shared" si="122"/>
        <v>442.5</v>
      </c>
    </row>
    <row r="2632" spans="1:8" x14ac:dyDescent="0.25">
      <c r="A2632" s="2" t="str">
        <f>"WASH52-1NW7"</f>
        <v>WASH52-1NW7</v>
      </c>
      <c r="B2632" s="2" t="str">
        <f>"1333AG4K Wash 52 Wandaußenleuchte gebogen, LED 1x13W, 4000K, 1-fach, aluminiumgr"</f>
        <v>1333AG4K Wash 52 Wandaußenleuchte gebogen, LED 1x13W, 4000K, 1-fach, aluminiumgr</v>
      </c>
      <c r="C2632" s="16">
        <v>442.5</v>
      </c>
      <c r="D2632" s="11">
        <v>273</v>
      </c>
      <c r="E2632" s="7">
        <f t="shared" si="116"/>
        <v>1</v>
      </c>
      <c r="F2632" s="22" t="str">
        <f>IF(ISERROR(VLOOKUP($A2632,#REF!,3,0)),"x",VLOOKUP($A2632,#REF!,3,FALSE))</f>
        <v>x</v>
      </c>
      <c r="G2632" s="9">
        <f t="shared" si="121"/>
        <v>1</v>
      </c>
      <c r="H2632" s="13">
        <f t="shared" si="122"/>
        <v>442.5</v>
      </c>
    </row>
    <row r="2633" spans="1:8" x14ac:dyDescent="0.25">
      <c r="A2633" s="2" t="str">
        <f>"WASH52-1WW1"</f>
        <v>WASH52-1WW1</v>
      </c>
      <c r="B2633" s="2" t="str">
        <f>"1333BI3K Wash 52 Wandaußenleuchte gebogen, LED 1x13W, 3000K, 1-fach, weiß"</f>
        <v>1333BI3K Wash 52 Wandaußenleuchte gebogen, LED 1x13W, 3000K, 1-fach, weiß</v>
      </c>
      <c r="C2633" s="16">
        <v>442.5</v>
      </c>
      <c r="D2633" s="11">
        <v>273</v>
      </c>
      <c r="E2633" s="7">
        <f t="shared" si="116"/>
        <v>1</v>
      </c>
      <c r="F2633" s="22" t="str">
        <f>IF(ISERROR(VLOOKUP($A2633,#REF!,3,0)),"x",VLOOKUP($A2633,#REF!,3,FALSE))</f>
        <v>x</v>
      </c>
      <c r="G2633" s="9">
        <f t="shared" si="121"/>
        <v>1</v>
      </c>
      <c r="H2633" s="13">
        <f t="shared" si="122"/>
        <v>442.5</v>
      </c>
    </row>
    <row r="2634" spans="1:8" x14ac:dyDescent="0.25">
      <c r="A2634" s="2" t="str">
        <f>"WASH52-1WW6"</f>
        <v>WASH52-1WW6</v>
      </c>
      <c r="B2634" s="2" t="str">
        <f>"1333AN3K Wash 52 Wandaußenleuchte gebogen, LED 13W, 3000K, 1-fach, anthrazit "</f>
        <v xml:space="preserve">1333AN3K Wash 52 Wandaußenleuchte gebogen, LED 13W, 3000K, 1-fach, anthrazit </v>
      </c>
      <c r="C2634" s="16">
        <v>442.5</v>
      </c>
      <c r="D2634" s="11">
        <v>273</v>
      </c>
      <c r="E2634" s="7">
        <f t="shared" si="116"/>
        <v>1</v>
      </c>
      <c r="F2634" s="22" t="str">
        <f>IF(ISERROR(VLOOKUP($A2634,#REF!,3,0)),"x",VLOOKUP($A2634,#REF!,3,FALSE))</f>
        <v>x</v>
      </c>
      <c r="G2634" s="9">
        <f t="shared" si="121"/>
        <v>1</v>
      </c>
      <c r="H2634" s="13">
        <f t="shared" si="122"/>
        <v>442.5</v>
      </c>
    </row>
    <row r="2635" spans="1:8" x14ac:dyDescent="0.25">
      <c r="A2635" s="2" t="str">
        <f>"WASH52-1WW7"</f>
        <v>WASH52-1WW7</v>
      </c>
      <c r="B2635" s="2" t="str">
        <f>"1333AG3K Wash52 Wandaußenleuchte gebogen, LED 13W, 3000K, 1fach, aluminiumgrau"</f>
        <v>1333AG3K Wash52 Wandaußenleuchte gebogen, LED 13W, 3000K, 1fach, aluminiumgrau</v>
      </c>
      <c r="C2635" s="16">
        <v>442.5</v>
      </c>
      <c r="D2635" s="11">
        <v>273</v>
      </c>
      <c r="E2635" s="7">
        <f t="shared" si="116"/>
        <v>1</v>
      </c>
      <c r="F2635" s="22" t="str">
        <f>IF(ISERROR(VLOOKUP($A2635,#REF!,3,0)),"x",VLOOKUP($A2635,#REF!,3,FALSE))</f>
        <v>x</v>
      </c>
      <c r="G2635" s="9">
        <f t="shared" si="121"/>
        <v>1</v>
      </c>
      <c r="H2635" s="13">
        <f t="shared" si="122"/>
        <v>442.5</v>
      </c>
    </row>
    <row r="2636" spans="1:8" x14ac:dyDescent="0.25">
      <c r="A2636" s="2" t="str">
        <f>"WASH52-2NW1"</f>
        <v>WASH52-2NW1</v>
      </c>
      <c r="B2636" s="2" t="str">
        <f>"1332BI4K Wash 52 Wandaußenleuchte gebogen, LED 2x13W, 4000K, 2-fach, weiß"</f>
        <v>1332BI4K Wash 52 Wandaußenleuchte gebogen, LED 2x13W, 4000K, 2-fach, weiß</v>
      </c>
      <c r="C2636" s="16">
        <v>562.75</v>
      </c>
      <c r="D2636" s="11">
        <v>273</v>
      </c>
      <c r="E2636" s="7">
        <f t="shared" si="116"/>
        <v>1</v>
      </c>
      <c r="F2636" s="22" t="str">
        <f>IF(ISERROR(VLOOKUP($A2636,#REF!,3,0)),"x",VLOOKUP($A2636,#REF!,3,FALSE))</f>
        <v>x</v>
      </c>
      <c r="G2636" s="9">
        <f t="shared" si="121"/>
        <v>1</v>
      </c>
      <c r="H2636" s="13">
        <f t="shared" si="122"/>
        <v>562.75</v>
      </c>
    </row>
    <row r="2637" spans="1:8" x14ac:dyDescent="0.25">
      <c r="A2637" s="2" t="str">
        <f>"WASH52-2NW6"</f>
        <v>WASH52-2NW6</v>
      </c>
      <c r="B2637" s="2" t="str">
        <f>"1332AN4K Wash 52 Wandaußenleuchte gebogen, LED 2x13W, 4000K, 2-fach, anthrazit "</f>
        <v xml:space="preserve">1332AN4K Wash 52 Wandaußenleuchte gebogen, LED 2x13W, 4000K, 2-fach, anthrazit </v>
      </c>
      <c r="C2637" s="16">
        <v>562.75</v>
      </c>
      <c r="D2637" s="11">
        <v>273</v>
      </c>
      <c r="E2637" s="7">
        <f t="shared" si="116"/>
        <v>1</v>
      </c>
      <c r="F2637" s="22" t="str">
        <f>IF(ISERROR(VLOOKUP($A2637,#REF!,3,0)),"x",VLOOKUP($A2637,#REF!,3,FALSE))</f>
        <v>x</v>
      </c>
      <c r="G2637" s="9">
        <f t="shared" si="121"/>
        <v>1</v>
      </c>
      <c r="H2637" s="13">
        <f t="shared" si="122"/>
        <v>562.75</v>
      </c>
    </row>
    <row r="2638" spans="1:8" x14ac:dyDescent="0.25">
      <c r="A2638" s="2" t="str">
        <f>"WASH52-2NW7"</f>
        <v>WASH52-2NW7</v>
      </c>
      <c r="B2638" s="2" t="str">
        <f>"1332AG4K Wash 52 Wandaußenleuchte gebogen, LED 2x13W, 4000K, 2-fach, aluminiumgr"</f>
        <v>1332AG4K Wash 52 Wandaußenleuchte gebogen, LED 2x13W, 4000K, 2-fach, aluminiumgr</v>
      </c>
      <c r="C2638" s="16">
        <v>562.75</v>
      </c>
      <c r="D2638" s="11">
        <v>273</v>
      </c>
      <c r="E2638" s="7">
        <f t="shared" si="116"/>
        <v>1</v>
      </c>
      <c r="F2638" s="22" t="str">
        <f>IF(ISERROR(VLOOKUP($A2638,#REF!,3,0)),"x",VLOOKUP($A2638,#REF!,3,FALSE))</f>
        <v>x</v>
      </c>
      <c r="G2638" s="9">
        <f t="shared" si="121"/>
        <v>1</v>
      </c>
      <c r="H2638" s="13">
        <f t="shared" si="122"/>
        <v>562.75</v>
      </c>
    </row>
    <row r="2639" spans="1:8" x14ac:dyDescent="0.25">
      <c r="A2639" s="2" t="str">
        <f>"WASH52-2WW1"</f>
        <v>WASH52-2WW1</v>
      </c>
      <c r="B2639" s="2" t="str">
        <f>"1332BI3K Wash 52 Wandaußenleuchte gebogen, LED 2x13W, 3000K, 2-fach, weiß"</f>
        <v>1332BI3K Wash 52 Wandaußenleuchte gebogen, LED 2x13W, 3000K, 2-fach, weiß</v>
      </c>
      <c r="C2639" s="16">
        <v>562.75</v>
      </c>
      <c r="D2639" s="11">
        <v>273</v>
      </c>
      <c r="E2639" s="7">
        <f t="shared" si="116"/>
        <v>1</v>
      </c>
      <c r="F2639" s="22" t="str">
        <f>IF(ISERROR(VLOOKUP($A2639,#REF!,3,0)),"x",VLOOKUP($A2639,#REF!,3,FALSE))</f>
        <v>x</v>
      </c>
      <c r="G2639" s="9">
        <f t="shared" si="121"/>
        <v>1</v>
      </c>
      <c r="H2639" s="13">
        <f t="shared" si="122"/>
        <v>562.75</v>
      </c>
    </row>
    <row r="2640" spans="1:8" x14ac:dyDescent="0.25">
      <c r="A2640" s="2" t="str">
        <f>"WASH52-2WW6"</f>
        <v>WASH52-2WW6</v>
      </c>
      <c r="B2640" s="2" t="str">
        <f>"1332AN3K Wash 52 Wandaußenleuchte gebogen, LED 2x13W, 3000K, 1fach, anthrazit "</f>
        <v xml:space="preserve">1332AN3K Wash 52 Wandaußenleuchte gebogen, LED 2x13W, 3000K, 1fach, anthrazit </v>
      </c>
      <c r="C2640" s="16">
        <v>562.75</v>
      </c>
      <c r="D2640" s="11">
        <v>273</v>
      </c>
      <c r="E2640" s="7">
        <f t="shared" si="116"/>
        <v>1</v>
      </c>
      <c r="F2640" s="22" t="str">
        <f>IF(ISERROR(VLOOKUP($A2640,#REF!,3,0)),"x",VLOOKUP($A2640,#REF!,3,FALSE))</f>
        <v>x</v>
      </c>
      <c r="G2640" s="9">
        <f t="shared" si="121"/>
        <v>1</v>
      </c>
      <c r="H2640" s="13">
        <f t="shared" si="122"/>
        <v>562.75</v>
      </c>
    </row>
    <row r="2641" spans="1:8" x14ac:dyDescent="0.25">
      <c r="A2641" s="2" t="str">
        <f>"WASH52-2WW7"</f>
        <v>WASH52-2WW7</v>
      </c>
      <c r="B2641" s="2" t="str">
        <f>"1332AG3K Wash 52 Wandaußenleuchte gebogen, LED 2x13W, 3000K, 1-fach, aluminiumgr"</f>
        <v>1332AG3K Wash 52 Wandaußenleuchte gebogen, LED 2x13W, 3000K, 1-fach, aluminiumgr</v>
      </c>
      <c r="C2641" s="16">
        <v>562.75</v>
      </c>
      <c r="D2641" s="11">
        <v>273</v>
      </c>
      <c r="E2641" s="7">
        <f t="shared" si="116"/>
        <v>1</v>
      </c>
      <c r="F2641" s="22" t="str">
        <f>IF(ISERROR(VLOOKUP($A2641,#REF!,3,0)),"x",VLOOKUP($A2641,#REF!,3,FALSE))</f>
        <v>x</v>
      </c>
      <c r="G2641" s="9">
        <f t="shared" si="121"/>
        <v>1</v>
      </c>
      <c r="H2641" s="13">
        <f t="shared" si="122"/>
        <v>562.75</v>
      </c>
    </row>
    <row r="2642" spans="1:8" x14ac:dyDescent="0.25">
      <c r="A2642" s="2" t="str">
        <f>"Z-AEN2"</f>
        <v>Z-AEN2</v>
      </c>
      <c r="B2642" s="2" t="str">
        <f>"Dekoring halbhoch zu ENR-xx und ENE-xx, chrom gebürstet"</f>
        <v>Dekoring halbhoch zu ENR-xx und ENE-xx, chrom gebürstet</v>
      </c>
      <c r="C2642" s="16">
        <v>5</v>
      </c>
      <c r="D2642" s="11">
        <v>131</v>
      </c>
      <c r="E2642" s="7">
        <f t="shared" si="116"/>
        <v>1</v>
      </c>
      <c r="F2642" s="22" t="str">
        <f>IF(ISERROR(VLOOKUP($A2642,#REF!,3,0)),"x",VLOOKUP($A2642,#REF!,3,FALSE))</f>
        <v>x</v>
      </c>
      <c r="G2642" s="9">
        <f t="shared" si="121"/>
        <v>1</v>
      </c>
      <c r="H2642" s="13">
        <f t="shared" si="122"/>
        <v>5</v>
      </c>
    </row>
    <row r="2643" spans="1:8" x14ac:dyDescent="0.25">
      <c r="A2643" s="2" t="str">
        <f>"Z-AEN3"</f>
        <v>Z-AEN3</v>
      </c>
      <c r="B2643" s="2" t="str">
        <f>"Dekoring hoch zu ENR-xx und ENE-xx, chrom gebürstet"</f>
        <v>Dekoring hoch zu ENR-xx und ENE-xx, chrom gebürstet</v>
      </c>
      <c r="C2643" s="16">
        <v>5</v>
      </c>
      <c r="D2643" s="11">
        <v>131</v>
      </c>
      <c r="E2643" s="7">
        <f t="shared" si="116"/>
        <v>1</v>
      </c>
      <c r="F2643" s="22" t="str">
        <f>IF(ISERROR(VLOOKUP($A2643,#REF!,3,0)),"x",VLOOKUP($A2643,#REF!,3,FALSE))</f>
        <v>x</v>
      </c>
      <c r="G2643" s="9">
        <f t="shared" si="121"/>
        <v>1</v>
      </c>
      <c r="H2643" s="13">
        <f t="shared" si="122"/>
        <v>5</v>
      </c>
    </row>
    <row r="2644" spans="1:8" x14ac:dyDescent="0.25">
      <c r="A2644" s="2" t="str">
        <f>"Z-AEN4"</f>
        <v>Z-AEN4</v>
      </c>
      <c r="B2644" s="2" t="str">
        <f>"Dekoring halbseitig halbhoch zu ENR-xx und ENE-xx, chrom geb"</f>
        <v>Dekoring halbseitig halbhoch zu ENR-xx und ENE-xx, chrom geb</v>
      </c>
      <c r="C2644" s="16">
        <v>5</v>
      </c>
      <c r="D2644" s="11">
        <v>131</v>
      </c>
      <c r="E2644" s="7">
        <f t="shared" si="116"/>
        <v>1</v>
      </c>
      <c r="F2644" s="22" t="str">
        <f>IF(ISERROR(VLOOKUP($A2644,#REF!,3,0)),"x",VLOOKUP($A2644,#REF!,3,FALSE))</f>
        <v>x</v>
      </c>
      <c r="G2644" s="9">
        <f t="shared" si="121"/>
        <v>1</v>
      </c>
      <c r="H2644" s="13">
        <f t="shared" si="122"/>
        <v>5</v>
      </c>
    </row>
    <row r="2645" spans="1:8" x14ac:dyDescent="0.25">
      <c r="A2645" s="2" t="str">
        <f>"Z-AEN5"</f>
        <v>Z-AEN5</v>
      </c>
      <c r="B2645" s="2" t="str">
        <f>"Dekoring hoch, gelocht zu ENR-xx und ENE-xx, chrom geb."</f>
        <v>Dekoring hoch, gelocht zu ENR-xx und ENE-xx, chrom geb.</v>
      </c>
      <c r="C2645" s="16">
        <v>5</v>
      </c>
      <c r="D2645" s="11">
        <v>131</v>
      </c>
      <c r="E2645" s="7">
        <f t="shared" si="116"/>
        <v>1</v>
      </c>
      <c r="F2645" s="22" t="str">
        <f>IF(ISERROR(VLOOKUP($A2645,#REF!,3,0)),"x",VLOOKUP($A2645,#REF!,3,FALSE))</f>
        <v>x</v>
      </c>
      <c r="G2645" s="9">
        <f t="shared" si="121"/>
        <v>1</v>
      </c>
      <c r="H2645" s="13">
        <f t="shared" si="122"/>
        <v>5</v>
      </c>
    </row>
    <row r="2646" spans="1:8" x14ac:dyDescent="0.25">
      <c r="A2646" s="2" t="str">
        <f>"Z-AK3POWER"</f>
        <v>Z-AK3POWER</v>
      </c>
      <c r="B2646" s="2" t="str">
        <f>"1194 Abblendgitter für K3 POWER Wandaußenleuchte"</f>
        <v>1194 Abblendgitter für K3 POWER Wandaußenleuchte</v>
      </c>
      <c r="C2646" s="16">
        <v>21</v>
      </c>
      <c r="D2646" s="11">
        <v>278</v>
      </c>
      <c r="E2646" s="7">
        <f t="shared" si="116"/>
        <v>1</v>
      </c>
      <c r="F2646" s="22" t="str">
        <f>IF(ISERROR(VLOOKUP($A2646,#REF!,3,0)),"x",VLOOKUP($A2646,#REF!,3,FALSE))</f>
        <v>x</v>
      </c>
      <c r="G2646" s="9">
        <f t="shared" si="121"/>
        <v>1</v>
      </c>
      <c r="H2646" s="13">
        <f t="shared" si="122"/>
        <v>21</v>
      </c>
    </row>
    <row r="2647" spans="1:8" x14ac:dyDescent="0.25">
      <c r="A2647" s="2" t="str">
        <f>"Z-ARKL-RKF"</f>
        <v>Z-ARKL-RKF</v>
      </c>
      <c r="B2647" s="2" t="str">
        <f>"Abhängung / Seilabhängung RKF/RKF-Z + RKL/RKL-Z 2,3,4,6"</f>
        <v>Abhängung / Seilabhängung RKF/RKF-Z + RKL/RKL-Z 2,3,4,6</v>
      </c>
      <c r="C2647" s="16">
        <v>46.5</v>
      </c>
      <c r="D2647" s="11">
        <v>181</v>
      </c>
      <c r="E2647" s="7">
        <f t="shared" si="116"/>
        <v>1</v>
      </c>
      <c r="F2647" s="22" t="str">
        <f>IF(ISERROR(VLOOKUP($A2647,#REF!,3,0)),"x",VLOOKUP($A2647,#REF!,3,FALSE))</f>
        <v>x</v>
      </c>
      <c r="G2647" s="9">
        <f t="shared" si="121"/>
        <v>1</v>
      </c>
      <c r="H2647" s="13">
        <f t="shared" si="122"/>
        <v>46.5</v>
      </c>
    </row>
    <row r="2648" spans="1:8" x14ac:dyDescent="0.25">
      <c r="A2648" s="2" t="str">
        <f>"Z-ASKY6006"</f>
        <v>Z-ASKY6006</v>
      </c>
      <c r="B2648" s="2" t="str">
        <f>"Wandhalterung für SKY ø 60 mm anthrazit"</f>
        <v>Wandhalterung für SKY ø 60 mm anthrazit</v>
      </c>
      <c r="C2648" s="16">
        <v>57.5</v>
      </c>
      <c r="D2648" s="11">
        <v>355</v>
      </c>
      <c r="E2648" s="7">
        <f t="shared" si="116"/>
        <v>1</v>
      </c>
      <c r="F2648" s="22" t="str">
        <f>IF(ISERROR(VLOOKUP($A2648,#REF!,3,0)),"x",VLOOKUP($A2648,#REF!,3,FALSE))</f>
        <v>x</v>
      </c>
      <c r="G2648" s="9">
        <f t="shared" si="121"/>
        <v>1</v>
      </c>
      <c r="H2648" s="13">
        <f t="shared" si="122"/>
        <v>57.5</v>
      </c>
    </row>
    <row r="2649" spans="1:8" x14ac:dyDescent="0.25">
      <c r="A2649" s="2" t="str">
        <f>"Z-ASKY7606"</f>
        <v>Z-ASKY7606</v>
      </c>
      <c r="B2649" s="2" t="str">
        <f>"Adapterstück für SKY &amp; VEN, für Pfähle mit Zopfmass Ø76 mm anthrazit"</f>
        <v>Adapterstück für SKY &amp; VEN, für Pfähle mit Zopfmass Ø76 mm anthrazit</v>
      </c>
      <c r="C2649" s="16">
        <v>65</v>
      </c>
      <c r="D2649" s="11">
        <v>355</v>
      </c>
      <c r="E2649" s="7">
        <f t="shared" si="116"/>
        <v>1</v>
      </c>
      <c r="F2649" s="22" t="str">
        <f>IF(ISERROR(VLOOKUP($A2649,#REF!,3,0)),"x",VLOOKUP($A2649,#REF!,3,FALSE))</f>
        <v>x</v>
      </c>
      <c r="G2649" s="9">
        <f t="shared" si="121"/>
        <v>1</v>
      </c>
      <c r="H2649" s="13">
        <f t="shared" si="122"/>
        <v>65</v>
      </c>
    </row>
    <row r="2650" spans="1:8" x14ac:dyDescent="0.25">
      <c r="A2650" s="2" t="str">
        <f>"Z-BCLOCK1206"</f>
        <v>Z-BCLOCK1206</v>
      </c>
      <c r="B2650" s="2" t="str">
        <f>"4669GR Blende für CLOCK, Ø 120 mm, anthrazit"</f>
        <v>4669GR Blende für CLOCK, Ø 120 mm, anthrazit</v>
      </c>
      <c r="C2650" s="16">
        <v>42.5</v>
      </c>
      <c r="D2650" s="11">
        <v>311</v>
      </c>
      <c r="E2650" s="7">
        <f t="shared" si="116"/>
        <v>1</v>
      </c>
      <c r="F2650" s="22" t="str">
        <f>IF(ISERROR(VLOOKUP($A2650,#REF!,3,0)),"x",VLOOKUP($A2650,#REF!,3,FALSE))</f>
        <v>x</v>
      </c>
      <c r="G2650" s="9">
        <f t="shared" si="121"/>
        <v>1</v>
      </c>
      <c r="H2650" s="13">
        <f t="shared" si="122"/>
        <v>42.5</v>
      </c>
    </row>
    <row r="2651" spans="1:8" x14ac:dyDescent="0.25">
      <c r="A2651" s="2" t="str">
        <f>"Z-BCLOCK1207"</f>
        <v>Z-BCLOCK1207</v>
      </c>
      <c r="B2651" s="2" t="str">
        <f>"4669AG Blende für CLOCK, Ø 120 mm, aluminiumgrau "</f>
        <v xml:space="preserve">4669AG Blende für CLOCK, Ø 120 mm, aluminiumgrau </v>
      </c>
      <c r="C2651" s="16">
        <v>42.5</v>
      </c>
      <c r="D2651" s="11">
        <v>311</v>
      </c>
      <c r="E2651" s="7">
        <f t="shared" si="116"/>
        <v>1</v>
      </c>
      <c r="F2651" s="22" t="str">
        <f>IF(ISERROR(VLOOKUP($A2651,#REF!,3,0)),"x",VLOOKUP($A2651,#REF!,3,FALSE))</f>
        <v>x</v>
      </c>
      <c r="G2651" s="9">
        <f t="shared" si="121"/>
        <v>1</v>
      </c>
      <c r="H2651" s="13">
        <f t="shared" si="122"/>
        <v>42.5</v>
      </c>
    </row>
    <row r="2652" spans="1:8" x14ac:dyDescent="0.25">
      <c r="A2652" s="2" t="str">
        <f>"Z-BELEDB"</f>
        <v>Z-BELEDB</v>
      </c>
      <c r="B2652" s="2" t="str">
        <f>"Einbau Befestigungssatz SET=4 St. für ELEDB"</f>
        <v>Einbau Befestigungssatz SET=4 St. für ELEDB</v>
      </c>
      <c r="C2652" s="16">
        <v>31.5</v>
      </c>
      <c r="D2652" s="11">
        <v>191</v>
      </c>
      <c r="E2652" s="7">
        <f t="shared" si="116"/>
        <v>1</v>
      </c>
      <c r="F2652" s="22" t="str">
        <f>IF(ISERROR(VLOOKUP($A2652,#REF!,3,0)),"x",VLOOKUP($A2652,#REF!,3,FALSE))</f>
        <v>x</v>
      </c>
      <c r="G2652" s="9">
        <f t="shared" si="121"/>
        <v>1</v>
      </c>
      <c r="H2652" s="13">
        <f t="shared" si="122"/>
        <v>31.5</v>
      </c>
    </row>
    <row r="2653" spans="1:8" x14ac:dyDescent="0.25">
      <c r="A2653" s="2" t="str">
        <f>"Z-BK3POWER"</f>
        <v>Z-BK3POWER</v>
      </c>
      <c r="B2653" s="2" t="str">
        <f>"1191 Befestigungsplatte, für Wandaußenleuchte K3 POWER, max. Drehung 90°"</f>
        <v>1191 Befestigungsplatte, für Wandaußenleuchte K3 POWER, max. Drehung 90°</v>
      </c>
      <c r="C2653" s="16">
        <v>60</v>
      </c>
      <c r="D2653" s="11">
        <v>278</v>
      </c>
      <c r="E2653" s="7">
        <f t="shared" si="116"/>
        <v>1</v>
      </c>
      <c r="F2653" s="22" t="str">
        <f>IF(ISERROR(VLOOKUP($A2653,#REF!,3,0)),"x",VLOOKUP($A2653,#REF!,3,FALSE))</f>
        <v>x</v>
      </c>
      <c r="G2653" s="9">
        <f t="shared" si="121"/>
        <v>1</v>
      </c>
      <c r="H2653" s="13">
        <f t="shared" si="122"/>
        <v>60</v>
      </c>
    </row>
    <row r="2654" spans="1:8" x14ac:dyDescent="0.25">
      <c r="A2654" s="2" t="str">
        <f>"Z-BSM"</f>
        <v>Z-BSM</v>
      </c>
      <c r="B2654" s="2" t="str">
        <f>"5696NE Befestigungsbügelpaar, für Wand-/Deckenleuchte SuperMaxi, schwarz"</f>
        <v>5696NE Befestigungsbügelpaar, für Wand-/Deckenleuchte SuperMaxi, schwarz</v>
      </c>
      <c r="C2654" s="16">
        <v>8</v>
      </c>
      <c r="D2654" s="11">
        <v>286</v>
      </c>
      <c r="E2654" s="7">
        <f t="shared" si="116"/>
        <v>1</v>
      </c>
      <c r="F2654" s="22" t="str">
        <f>IF(ISERROR(VLOOKUP($A2654,#REF!,3,0)),"x",VLOOKUP($A2654,#REF!,3,FALSE))</f>
        <v>x</v>
      </c>
      <c r="G2654" s="9">
        <f t="shared" si="121"/>
        <v>1</v>
      </c>
      <c r="H2654" s="13">
        <f t="shared" si="122"/>
        <v>8</v>
      </c>
    </row>
    <row r="2655" spans="1:8" x14ac:dyDescent="0.25">
      <c r="A2655" s="2" t="str">
        <f>"Z-CLKABEL2X1,5-10M"</f>
        <v>Z-CLKABEL2X1,5-10M</v>
      </c>
      <c r="B2655" s="2" t="str">
        <f>"Kabel 2x1,5 mm², 10m lang, für VEN/SKY/SHL"</f>
        <v>Kabel 2x1,5 mm², 10m lang, für VEN/SKY/SHL</v>
      </c>
      <c r="C2655" s="16">
        <v>85</v>
      </c>
      <c r="D2655" s="11">
        <v>355</v>
      </c>
      <c r="E2655" s="7">
        <f t="shared" si="116"/>
        <v>1</v>
      </c>
      <c r="F2655" s="22" t="str">
        <f>IF(ISERROR(VLOOKUP($A2655,#REF!,3,0)),"x",VLOOKUP($A2655,#REF!,3,FALSE))</f>
        <v>x</v>
      </c>
      <c r="G2655" s="9">
        <f t="shared" si="121"/>
        <v>1</v>
      </c>
      <c r="H2655" s="13">
        <f t="shared" si="122"/>
        <v>85</v>
      </c>
    </row>
    <row r="2656" spans="1:8" x14ac:dyDescent="0.25">
      <c r="A2656" s="2" t="str">
        <f>"Z-CLKABEL2X1,5-5M"</f>
        <v>Z-CLKABEL2X1,5-5M</v>
      </c>
      <c r="B2656" s="2" t="str">
        <f>"Kabel 2x1,5 mm², 5m lang, für VEN/SKY/SHL"</f>
        <v>Kabel 2x1,5 mm², 5m lang, für VEN/SKY/SHL</v>
      </c>
      <c r="C2656" s="16">
        <v>57.5</v>
      </c>
      <c r="D2656" s="11">
        <v>355</v>
      </c>
      <c r="E2656" s="7">
        <f t="shared" si="116"/>
        <v>1</v>
      </c>
      <c r="F2656" s="22" t="str">
        <f>IF(ISERROR(VLOOKUP($A2656,#REF!,3,0)),"x",VLOOKUP($A2656,#REF!,3,FALSE))</f>
        <v>x</v>
      </c>
      <c r="G2656" s="9">
        <f t="shared" si="121"/>
        <v>1</v>
      </c>
      <c r="H2656" s="13">
        <f t="shared" si="122"/>
        <v>57.5</v>
      </c>
    </row>
    <row r="2657" spans="1:8" x14ac:dyDescent="0.25">
      <c r="A2657" s="2" t="str">
        <f>"Z-CLOCK"</f>
        <v>Z-CLOCK</v>
      </c>
      <c r="B2657" s="2" t="str">
        <f>"4692GM Wandmontagearm, für CLOCK, L= 369 mm, Aluminium"</f>
        <v>4692GM Wandmontagearm, für CLOCK, L= 369 mm, Aluminium</v>
      </c>
      <c r="C2657" s="16">
        <v>236.25</v>
      </c>
      <c r="D2657" s="11">
        <v>311</v>
      </c>
      <c r="E2657" s="7">
        <f t="shared" si="116"/>
        <v>1</v>
      </c>
      <c r="F2657" s="22" t="str">
        <f>IF(ISERROR(VLOOKUP($A2657,#REF!,3,0)),"x",VLOOKUP($A2657,#REF!,3,FALSE))</f>
        <v>x</v>
      </c>
      <c r="G2657" s="9">
        <f t="shared" si="121"/>
        <v>1</v>
      </c>
      <c r="H2657" s="13">
        <f t="shared" si="122"/>
        <v>236.25</v>
      </c>
    </row>
    <row r="2658" spans="1:8" x14ac:dyDescent="0.25">
      <c r="A2658" s="2" t="str">
        <f>"Z-CLOCK6"</f>
        <v>Z-CLOCK6</v>
      </c>
      <c r="B2658" s="2" t="str">
        <f>"4692AN Wandmontagearm, für CLOCK, L= 369 mm, anthrazit"</f>
        <v>4692AN Wandmontagearm, für CLOCK, L= 369 mm, anthrazit</v>
      </c>
      <c r="C2658" s="16">
        <v>215</v>
      </c>
      <c r="D2658" s="11">
        <v>311</v>
      </c>
      <c r="E2658" s="7">
        <f t="shared" si="116"/>
        <v>1</v>
      </c>
      <c r="F2658" s="22" t="str">
        <f>IF(ISERROR(VLOOKUP($A2658,#REF!,3,0)),"x",VLOOKUP($A2658,#REF!,3,FALSE))</f>
        <v>x</v>
      </c>
      <c r="G2658" s="9">
        <f t="shared" si="121"/>
        <v>1</v>
      </c>
      <c r="H2658" s="13">
        <f t="shared" si="122"/>
        <v>215</v>
      </c>
    </row>
    <row r="2659" spans="1:8" x14ac:dyDescent="0.25">
      <c r="A2659" s="2" t="str">
        <f>"Z-DLS100-6"</f>
        <v>Z-DLS100-6</v>
      </c>
      <c r="B2659" s="2" t="str">
        <f>"Wandausleger, 100mm zu DLS, anthrazit"</f>
        <v>Wandausleger, 100mm zu DLS, anthrazit</v>
      </c>
      <c r="C2659" s="16">
        <v>23</v>
      </c>
      <c r="D2659" s="11">
        <v>289</v>
      </c>
      <c r="E2659" s="7">
        <f t="shared" si="116"/>
        <v>1</v>
      </c>
      <c r="F2659" s="22" t="str">
        <f>IF(ISERROR(VLOOKUP($A2659,#REF!,3,0)),"x",VLOOKUP($A2659,#REF!,3,FALSE))</f>
        <v>x</v>
      </c>
      <c r="G2659" s="9">
        <f t="shared" si="121"/>
        <v>1</v>
      </c>
      <c r="H2659" s="13">
        <f t="shared" si="122"/>
        <v>23</v>
      </c>
    </row>
    <row r="2660" spans="1:8" x14ac:dyDescent="0.25">
      <c r="A2660" s="2" t="str">
        <f>"Z-DLS100-7"</f>
        <v>Z-DLS100-7</v>
      </c>
      <c r="B2660" s="2" t="str">
        <f>"Wandausleger 100mm, zu DLS, alugrau"</f>
        <v>Wandausleger 100mm, zu DLS, alugrau</v>
      </c>
      <c r="C2660" s="16">
        <v>23</v>
      </c>
      <c r="D2660" s="11">
        <v>289</v>
      </c>
      <c r="E2660" s="7">
        <f t="shared" si="116"/>
        <v>1</v>
      </c>
      <c r="F2660" s="22" t="str">
        <f>IF(ISERROR(VLOOKUP($A2660,#REF!,3,0)),"x",VLOOKUP($A2660,#REF!,3,FALSE))</f>
        <v>x</v>
      </c>
      <c r="G2660" s="9">
        <f t="shared" si="121"/>
        <v>1</v>
      </c>
      <c r="H2660" s="13">
        <f t="shared" si="122"/>
        <v>23</v>
      </c>
    </row>
    <row r="2661" spans="1:8" x14ac:dyDescent="0.25">
      <c r="A2661" s="2" t="str">
        <f>"Z-DLS175-6"</f>
        <v>Z-DLS175-6</v>
      </c>
      <c r="B2661" s="2" t="str">
        <f>"Wandausleger 175mm, zu DLS, anthrazit"</f>
        <v>Wandausleger 175mm, zu DLS, anthrazit</v>
      </c>
      <c r="C2661" s="16">
        <v>30</v>
      </c>
      <c r="D2661" s="11">
        <v>289</v>
      </c>
      <c r="E2661" s="7">
        <f t="shared" si="116"/>
        <v>1</v>
      </c>
      <c r="F2661" s="22" t="str">
        <f>IF(ISERROR(VLOOKUP($A2661,#REF!,3,0)),"x",VLOOKUP($A2661,#REF!,3,FALSE))</f>
        <v>x</v>
      </c>
      <c r="G2661" s="9">
        <f t="shared" si="121"/>
        <v>1</v>
      </c>
      <c r="H2661" s="13">
        <f t="shared" si="122"/>
        <v>30</v>
      </c>
    </row>
    <row r="2662" spans="1:8" x14ac:dyDescent="0.25">
      <c r="A2662" s="2" t="str">
        <f>"Z-DLS175-7"</f>
        <v>Z-DLS175-7</v>
      </c>
      <c r="B2662" s="2" t="str">
        <f>"Wandausleger 175mm, zu DLS, alugrau, Set = 2 Stück"</f>
        <v>Wandausleger 175mm, zu DLS, alugrau, Set = 2 Stück</v>
      </c>
      <c r="C2662" s="16">
        <v>30</v>
      </c>
      <c r="D2662" s="11">
        <v>289</v>
      </c>
      <c r="E2662" s="7">
        <f t="shared" si="116"/>
        <v>1</v>
      </c>
      <c r="F2662" s="22" t="str">
        <f>IF(ISERROR(VLOOKUP($A2662,#REF!,3,0)),"x",VLOOKUP($A2662,#REF!,3,FALSE))</f>
        <v>x</v>
      </c>
      <c r="G2662" s="9">
        <f t="shared" si="121"/>
        <v>1</v>
      </c>
      <c r="H2662" s="13">
        <f t="shared" si="122"/>
        <v>30</v>
      </c>
    </row>
    <row r="2663" spans="1:8" x14ac:dyDescent="0.25">
      <c r="A2663" s="2" t="str">
        <f>"Z-ELED2-4"</f>
        <v>Z-ELED2-4</v>
      </c>
      <c r="B2663" s="2" t="str">
        <f>"Y-Stahlseilabhängung-Set (2 Seilabhängungen) "</f>
        <v xml:space="preserve">Y-Stahlseilabhängung-Set (2 Seilabhängungen) </v>
      </c>
      <c r="C2663" s="16">
        <v>92.5</v>
      </c>
      <c r="D2663" s="11">
        <v>189</v>
      </c>
      <c r="E2663" s="7">
        <f t="shared" si="116"/>
        <v>1</v>
      </c>
      <c r="F2663" s="22" t="str">
        <f>IF(ISERROR(VLOOKUP($A2663,#REF!,3,0)),"x",VLOOKUP($A2663,#REF!,3,FALSE))</f>
        <v>x</v>
      </c>
      <c r="G2663" s="9">
        <f t="shared" si="121"/>
        <v>1</v>
      </c>
      <c r="H2663" s="13">
        <f t="shared" si="122"/>
        <v>92.5</v>
      </c>
    </row>
    <row r="2664" spans="1:8" x14ac:dyDescent="0.25">
      <c r="A2664" s="2" t="str">
        <f>"Z-ELEDN"</f>
        <v>Z-ELEDN</v>
      </c>
      <c r="B2664" s="2" t="str">
        <f>"Y-Stahlseilabhängung-Set (4 Seilabhängungen) "</f>
        <v xml:space="preserve">Y-Stahlseilabhängung-Set (4 Seilabhängungen) </v>
      </c>
      <c r="C2664" s="16">
        <v>15</v>
      </c>
      <c r="D2664" s="11">
        <v>189</v>
      </c>
      <c r="E2664" s="7">
        <f t="shared" si="116"/>
        <v>1</v>
      </c>
      <c r="F2664" s="22" t="str">
        <f>IF(ISERROR(VLOOKUP($A2664,#REF!,3,0)),"x",VLOOKUP($A2664,#REF!,3,FALSE))</f>
        <v>x</v>
      </c>
      <c r="G2664" s="9">
        <f t="shared" si="121"/>
        <v>1</v>
      </c>
      <c r="H2664" s="13">
        <f t="shared" si="122"/>
        <v>15</v>
      </c>
    </row>
    <row r="2665" spans="1:8" x14ac:dyDescent="0.25">
      <c r="A2665" s="2" t="str">
        <f>"Z-ESM"</f>
        <v>Z-ESM</v>
      </c>
      <c r="B2665" s="2" t="str">
        <f>"5694NE Einrastdeckel für SUPERMAXI Kabelkanal, schwarz"</f>
        <v>5694NE Einrastdeckel für SUPERMAXI Kabelkanal, schwarz</v>
      </c>
      <c r="C2665" s="16">
        <v>47.5</v>
      </c>
      <c r="D2665" s="11">
        <v>286</v>
      </c>
      <c r="E2665" s="7">
        <f t="shared" si="116"/>
        <v>1</v>
      </c>
      <c r="F2665" s="22" t="str">
        <f>IF(ISERROR(VLOOKUP($A2665,#REF!,3,0)),"x",VLOOKUP($A2665,#REF!,3,FALSE))</f>
        <v>x</v>
      </c>
      <c r="G2665" s="9">
        <f t="shared" si="121"/>
        <v>1</v>
      </c>
      <c r="H2665" s="13">
        <f t="shared" si="122"/>
        <v>47.5</v>
      </c>
    </row>
    <row r="2666" spans="1:8" x14ac:dyDescent="0.25">
      <c r="A2666" s="2" t="str">
        <f>"Z-FBCLA"</f>
        <v>Z-FBCLA</v>
      </c>
      <c r="B2666" s="2" t="str">
        <f>"Fernbedienung + Controller, für CLA Sterilisationseinlegeleuchte inkl. Batterien"</f>
        <v>Fernbedienung + Controller, für CLA Sterilisationseinlegeleuchte inkl. Batterien</v>
      </c>
      <c r="C2666" s="16">
        <v>15.75</v>
      </c>
      <c r="D2666" s="11">
        <v>203</v>
      </c>
      <c r="E2666" s="7">
        <f t="shared" si="116"/>
        <v>1</v>
      </c>
      <c r="F2666" s="22" t="str">
        <f>IF(ISERROR(VLOOKUP($A2666,#REF!,3,0)),"x",VLOOKUP($A2666,#REF!,3,FALSE))</f>
        <v>x</v>
      </c>
      <c r="G2666" s="9">
        <f t="shared" si="121"/>
        <v>1</v>
      </c>
      <c r="H2666" s="13">
        <f t="shared" si="122"/>
        <v>15.75</v>
      </c>
    </row>
    <row r="2667" spans="1:8" x14ac:dyDescent="0.25">
      <c r="A2667" s="2" t="str">
        <f>"Z-FBFLEXYRGB"</f>
        <v>Z-FBFLEXYRGB</v>
      </c>
      <c r="B2667" s="2" t="str">
        <f>"Fernbedienung + Controller für FLEXY RGB mit Batterien"</f>
        <v>Fernbedienung + Controller für FLEXY RGB mit Batterien</v>
      </c>
      <c r="C2667" s="16">
        <v>52.5</v>
      </c>
      <c r="D2667" s="11">
        <v>230</v>
      </c>
      <c r="E2667" s="7">
        <f t="shared" si="116"/>
        <v>1</v>
      </c>
      <c r="F2667" s="22" t="str">
        <f>IF(ISERROR(VLOOKUP($A2667,#REF!,3,0)),"x",VLOOKUP($A2667,#REF!,3,FALSE))</f>
        <v>x</v>
      </c>
      <c r="G2667" s="9">
        <f t="shared" si="121"/>
        <v>1</v>
      </c>
      <c r="H2667" s="13">
        <f t="shared" si="122"/>
        <v>52.5</v>
      </c>
    </row>
    <row r="2668" spans="1:8" x14ac:dyDescent="0.25">
      <c r="A2668" s="2" t="str">
        <f>"Z-FBFLEXYRGBW"</f>
        <v>Z-FBFLEXYRGBW</v>
      </c>
      <c r="B2668" s="2" t="str">
        <f>"Fernbedienung + Controller für FLEXY RGB/W mit Batterien"</f>
        <v>Fernbedienung + Controller für FLEXY RGB/W mit Batterien</v>
      </c>
      <c r="C2668" s="16">
        <v>65</v>
      </c>
      <c r="D2668" s="11">
        <v>230</v>
      </c>
      <c r="E2668" s="7">
        <f t="shared" si="116"/>
        <v>1</v>
      </c>
      <c r="F2668" s="22" t="str">
        <f>IF(ISERROR(VLOOKUP($A2668,#REF!,3,0)),"x",VLOOKUP($A2668,#REF!,3,FALSE))</f>
        <v>x</v>
      </c>
      <c r="G2668" s="9">
        <f t="shared" si="121"/>
        <v>1</v>
      </c>
      <c r="H2668" s="13">
        <f t="shared" si="122"/>
        <v>65</v>
      </c>
    </row>
    <row r="2669" spans="1:8" x14ac:dyDescent="0.25">
      <c r="A2669" s="2" t="str">
        <f>"Z-FBFLEXYSSWSCW"</f>
        <v>Z-FBFLEXYSSWSCW</v>
      </c>
      <c r="B2669" s="2" t="str">
        <f>"Fernbedienung + Controller für FLEXY tunable white mit Batterien"</f>
        <v>Fernbedienung + Controller für FLEXY tunable white mit Batterien</v>
      </c>
      <c r="C2669" s="16">
        <v>45</v>
      </c>
      <c r="D2669" s="11">
        <v>231</v>
      </c>
      <c r="E2669" s="7">
        <f t="shared" si="116"/>
        <v>1</v>
      </c>
      <c r="F2669" s="22" t="str">
        <f>IF(ISERROR(VLOOKUP($A2669,#REF!,3,0)),"x",VLOOKUP($A2669,#REF!,3,FALSE))</f>
        <v>x</v>
      </c>
      <c r="G2669" s="9">
        <f t="shared" si="121"/>
        <v>1</v>
      </c>
      <c r="H2669" s="13">
        <f t="shared" si="122"/>
        <v>45</v>
      </c>
    </row>
    <row r="2670" spans="1:8" x14ac:dyDescent="0.25">
      <c r="A2670" s="2" t="str">
        <f>"Z-FCLA"</f>
        <v>Z-FCLA</v>
      </c>
      <c r="B2670" s="2" t="str">
        <f>"Ersatzfilter, für CLA-xxx Sterilisations-Leuchte "</f>
        <v xml:space="preserve">Ersatzfilter, für CLA-xxx Sterilisations-Leuchte </v>
      </c>
      <c r="C2670" s="16">
        <v>65</v>
      </c>
      <c r="D2670" s="11">
        <v>203</v>
      </c>
      <c r="E2670" s="7">
        <f t="shared" si="116"/>
        <v>1</v>
      </c>
      <c r="F2670" s="22" t="str">
        <f>IF(ISERROR(VLOOKUP($A2670,#REF!,3,0)),"x",VLOOKUP($A2670,#REF!,3,FALSE))</f>
        <v>x</v>
      </c>
      <c r="G2670" s="9">
        <f t="shared" si="121"/>
        <v>1</v>
      </c>
      <c r="H2670" s="13">
        <f t="shared" si="122"/>
        <v>65</v>
      </c>
    </row>
    <row r="2671" spans="1:8" x14ac:dyDescent="0.25">
      <c r="A2671" s="2" t="str">
        <f>"Z-FK3B"</f>
        <v>Z-FK3B</v>
      </c>
      <c r="B2671" s="2" t="str">
        <f>"1096BL Farbfilter für K3 Wandaußenleuchte, 113x108mm, blau"</f>
        <v>1096BL Farbfilter für K3 Wandaußenleuchte, 113x108mm, blau</v>
      </c>
      <c r="C2671" s="16">
        <v>55</v>
      </c>
      <c r="D2671" s="11">
        <v>282</v>
      </c>
      <c r="E2671" s="7">
        <f t="shared" si="116"/>
        <v>1</v>
      </c>
      <c r="F2671" s="22" t="str">
        <f>IF(ISERROR(VLOOKUP($A2671,#REF!,3,0)),"x",VLOOKUP($A2671,#REF!,3,FALSE))</f>
        <v>x</v>
      </c>
      <c r="G2671" s="9">
        <f t="shared" si="121"/>
        <v>1</v>
      </c>
      <c r="H2671" s="13">
        <f t="shared" si="122"/>
        <v>55</v>
      </c>
    </row>
    <row r="2672" spans="1:8" x14ac:dyDescent="0.25">
      <c r="A2672" s="2" t="str">
        <f>"Z-FK3GR"</f>
        <v>Z-FK3GR</v>
      </c>
      <c r="B2672" s="2" t="str">
        <f>"1096VE Farbfilter für K3 Wandaußenleuchte, 113x108mm, grün"</f>
        <v>1096VE Farbfilter für K3 Wandaußenleuchte, 113x108mm, grün</v>
      </c>
      <c r="C2672" s="16">
        <v>55</v>
      </c>
      <c r="D2672" s="11">
        <v>282</v>
      </c>
      <c r="E2672" s="7">
        <f t="shared" si="116"/>
        <v>1</v>
      </c>
      <c r="F2672" s="22" t="str">
        <f>IF(ISERROR(VLOOKUP($A2672,#REF!,3,0)),"x",VLOOKUP($A2672,#REF!,3,FALSE))</f>
        <v>x</v>
      </c>
      <c r="G2672" s="9">
        <f t="shared" si="121"/>
        <v>1</v>
      </c>
      <c r="H2672" s="13">
        <f t="shared" si="122"/>
        <v>55</v>
      </c>
    </row>
    <row r="2673" spans="1:8" x14ac:dyDescent="0.25">
      <c r="A2673" s="2" t="str">
        <f>"Z-FK3O"</f>
        <v>Z-FK3O</v>
      </c>
      <c r="B2673" s="2" t="str">
        <f>"1096AR Farbfilter für K3 Wandaußenleuchte, 113x108mm, orange"</f>
        <v>1096AR Farbfilter für K3 Wandaußenleuchte, 113x108mm, orange</v>
      </c>
      <c r="C2673" s="16">
        <v>55</v>
      </c>
      <c r="D2673" s="11">
        <v>282</v>
      </c>
      <c r="E2673" s="7">
        <f t="shared" si="116"/>
        <v>1</v>
      </c>
      <c r="F2673" s="22" t="str">
        <f>IF(ISERROR(VLOOKUP($A2673,#REF!,3,0)),"x",VLOOKUP($A2673,#REF!,3,FALSE))</f>
        <v>x</v>
      </c>
      <c r="G2673" s="9">
        <f t="shared" si="121"/>
        <v>1</v>
      </c>
      <c r="H2673" s="13">
        <f t="shared" si="122"/>
        <v>55</v>
      </c>
    </row>
    <row r="2674" spans="1:8" x14ac:dyDescent="0.25">
      <c r="A2674" s="2" t="str">
        <f>"Z-FK3R"</f>
        <v>Z-FK3R</v>
      </c>
      <c r="B2674" s="2" t="str">
        <f>"1096RO Farbfilter für K3 Wandaußenleuchte, 113x108mm, rot"</f>
        <v>1096RO Farbfilter für K3 Wandaußenleuchte, 113x108mm, rot</v>
      </c>
      <c r="C2674" s="16">
        <v>55</v>
      </c>
      <c r="D2674" s="11">
        <v>282</v>
      </c>
      <c r="E2674" s="7">
        <f t="shared" si="116"/>
        <v>1</v>
      </c>
      <c r="F2674" s="22" t="str">
        <f>IF(ISERROR(VLOOKUP($A2674,#REF!,3,0)),"x",VLOOKUP($A2674,#REF!,3,FALSE))</f>
        <v>x</v>
      </c>
      <c r="G2674" s="9">
        <f t="shared" si="121"/>
        <v>1</v>
      </c>
      <c r="H2674" s="13">
        <f t="shared" si="122"/>
        <v>55</v>
      </c>
    </row>
    <row r="2675" spans="1:8" x14ac:dyDescent="0.25">
      <c r="A2675" s="2" t="str">
        <f>"Z-FL10E"</f>
        <v>Z-FL10E</v>
      </c>
      <c r="B2675" s="2" t="str">
        <f>"FLEXY Zubehör Einspeiser 2-polig, 10mm, IP20"</f>
        <v>FLEXY Zubehör Einspeiser 2-polig, 10mm, IP20</v>
      </c>
      <c r="C2675" s="16">
        <v>2.5</v>
      </c>
      <c r="D2675" s="11">
        <v>228</v>
      </c>
      <c r="E2675" s="7">
        <f t="shared" si="116"/>
        <v>1</v>
      </c>
      <c r="F2675" s="22" t="str">
        <f>IF(ISERROR(VLOOKUP($A2675,#REF!,3,0)),"x",VLOOKUP($A2675,#REF!,3,FALSE))</f>
        <v>x</v>
      </c>
      <c r="G2675" s="9">
        <f t="shared" si="121"/>
        <v>1</v>
      </c>
      <c r="H2675" s="13">
        <f t="shared" si="122"/>
        <v>2.5</v>
      </c>
    </row>
    <row r="2676" spans="1:8" x14ac:dyDescent="0.25">
      <c r="A2676" s="2" t="str">
        <f>"Z-FL10ECCT"</f>
        <v>Z-FL10ECCT</v>
      </c>
      <c r="B2676" s="2" t="str">
        <f>"FLEXY Zubehör Einspeiser CCT 3-polig, 10mm, IP20"</f>
        <v>FLEXY Zubehör Einspeiser CCT 3-polig, 10mm, IP20</v>
      </c>
      <c r="C2676" s="16">
        <v>2.5</v>
      </c>
      <c r="D2676" s="11">
        <v>231</v>
      </c>
      <c r="E2676" s="7">
        <f t="shared" si="116"/>
        <v>1</v>
      </c>
      <c r="F2676" s="22" t="str">
        <f>IF(ISERROR(VLOOKUP($A2676,#REF!,3,0)),"x",VLOOKUP($A2676,#REF!,3,FALSE))</f>
        <v>x</v>
      </c>
      <c r="G2676" s="9">
        <f t="shared" si="121"/>
        <v>1</v>
      </c>
      <c r="H2676" s="13">
        <f t="shared" si="122"/>
        <v>2.5</v>
      </c>
    </row>
    <row r="2677" spans="1:8" x14ac:dyDescent="0.25">
      <c r="A2677" s="2" t="str">
        <f>"Z-FL10ERGB"</f>
        <v>Z-FL10ERGB</v>
      </c>
      <c r="B2677" s="2" t="str">
        <f>"FLEXY Zubehör Einspeiser RGB 4-polig, 10mm, IP20"</f>
        <v>FLEXY Zubehör Einspeiser RGB 4-polig, 10mm, IP20</v>
      </c>
      <c r="C2677" s="16">
        <v>2.5</v>
      </c>
      <c r="D2677" s="11">
        <v>230</v>
      </c>
      <c r="E2677" s="7">
        <f t="shared" si="116"/>
        <v>1</v>
      </c>
      <c r="F2677" s="22" t="str">
        <f>IF(ISERROR(VLOOKUP($A2677,#REF!,3,0)),"x",VLOOKUP($A2677,#REF!,3,FALSE))</f>
        <v>x</v>
      </c>
      <c r="G2677" s="9">
        <f t="shared" si="121"/>
        <v>1</v>
      </c>
      <c r="H2677" s="13">
        <f t="shared" si="122"/>
        <v>2.5</v>
      </c>
    </row>
    <row r="2678" spans="1:8" x14ac:dyDescent="0.25">
      <c r="A2678" s="2" t="str">
        <f>"Z-FL10ES"</f>
        <v>Z-FL10ES</v>
      </c>
      <c r="B2678" s="2" t="str">
        <f>"FLEXY Zubehör Einspeiser 2-polig, 10mm, IP20, SLIM, weiss"</f>
        <v>FLEXY Zubehör Einspeiser 2-polig, 10mm, IP20, SLIM, weiss</v>
      </c>
      <c r="C2678" s="16">
        <v>2.5</v>
      </c>
      <c r="D2678" s="11">
        <v>228</v>
      </c>
      <c r="E2678" s="7">
        <f t="shared" si="116"/>
        <v>1</v>
      </c>
      <c r="F2678" s="22" t="str">
        <f>IF(ISERROR(VLOOKUP($A2678,#REF!,3,0)),"x",VLOOKUP($A2678,#REF!,3,FALSE))</f>
        <v>x</v>
      </c>
      <c r="G2678" s="9">
        <f t="shared" si="121"/>
        <v>1</v>
      </c>
      <c r="H2678" s="13">
        <f t="shared" si="122"/>
        <v>2.5</v>
      </c>
    </row>
    <row r="2679" spans="1:8" x14ac:dyDescent="0.25">
      <c r="A2679" s="2" t="str">
        <f>"Z-FL10ESIP"</f>
        <v>Z-FL10ESIP</v>
      </c>
      <c r="B2679" s="2" t="str">
        <f>"FLEXY Zubehör Einspeiser 2-polig, 10mm, IP67, SLIM"</f>
        <v>FLEXY Zubehör Einspeiser 2-polig, 10mm, IP67, SLIM</v>
      </c>
      <c r="C2679" s="16">
        <v>2.5</v>
      </c>
      <c r="D2679" s="11">
        <v>229</v>
      </c>
      <c r="E2679" s="7">
        <f t="shared" si="116"/>
        <v>1</v>
      </c>
      <c r="F2679" s="22" t="str">
        <f>IF(ISERROR(VLOOKUP($A2679,#REF!,3,0)),"x",VLOOKUP($A2679,#REF!,3,FALSE))</f>
        <v>x</v>
      </c>
      <c r="G2679" s="9">
        <f t="shared" si="121"/>
        <v>1</v>
      </c>
      <c r="H2679" s="13">
        <f t="shared" si="122"/>
        <v>2.5</v>
      </c>
    </row>
    <row r="2680" spans="1:8" x14ac:dyDescent="0.25">
      <c r="A2680" s="2" t="str">
        <f>"Z-FL10L"</f>
        <v>Z-FL10L</v>
      </c>
      <c r="B2680" s="2" t="str">
        <f>"FLEXY Zubehör Längsverbinder 2-polig, 10mm, IP20"</f>
        <v>FLEXY Zubehör Längsverbinder 2-polig, 10mm, IP20</v>
      </c>
      <c r="C2680" s="16">
        <v>2.5</v>
      </c>
      <c r="D2680" s="11">
        <v>228</v>
      </c>
      <c r="E2680" s="7">
        <f t="shared" si="116"/>
        <v>1</v>
      </c>
      <c r="F2680" s="22" t="str">
        <f>IF(ISERROR(VLOOKUP($A2680,#REF!,3,0)),"x",VLOOKUP($A2680,#REF!,3,FALSE))</f>
        <v>x</v>
      </c>
      <c r="G2680" s="9">
        <f t="shared" si="121"/>
        <v>1</v>
      </c>
      <c r="H2680" s="13">
        <f t="shared" si="122"/>
        <v>2.5</v>
      </c>
    </row>
    <row r="2681" spans="1:8" x14ac:dyDescent="0.25">
      <c r="A2681" s="2" t="str">
        <f>"Z-FL10LCCT"</f>
        <v>Z-FL10LCCT</v>
      </c>
      <c r="B2681" s="2" t="str">
        <f>"FLEXY Zubehör Längsverbinder CCT 3-polig, 10mm, IP20"</f>
        <v>FLEXY Zubehör Längsverbinder CCT 3-polig, 10mm, IP20</v>
      </c>
      <c r="C2681" s="16">
        <v>2.5</v>
      </c>
      <c r="D2681" s="11">
        <v>231</v>
      </c>
      <c r="E2681" s="7">
        <f t="shared" si="116"/>
        <v>1</v>
      </c>
      <c r="F2681" s="22" t="str">
        <f>IF(ISERROR(VLOOKUP($A2681,#REF!,3,0)),"x",VLOOKUP($A2681,#REF!,3,FALSE))</f>
        <v>x</v>
      </c>
      <c r="G2681" s="9">
        <f t="shared" si="121"/>
        <v>1</v>
      </c>
      <c r="H2681" s="13">
        <f t="shared" si="122"/>
        <v>2.5</v>
      </c>
    </row>
    <row r="2682" spans="1:8" x14ac:dyDescent="0.25">
      <c r="A2682" s="2" t="str">
        <f>"Z-FL10LRGB"</f>
        <v>Z-FL10LRGB</v>
      </c>
      <c r="B2682" s="2" t="str">
        <f>"FLEXY Zubehör Längsverbinder CCT 4-polig, 10mm, IP20"</f>
        <v>FLEXY Zubehör Längsverbinder CCT 4-polig, 10mm, IP20</v>
      </c>
      <c r="C2682" s="16">
        <v>2.5</v>
      </c>
      <c r="D2682" s="11">
        <v>230</v>
      </c>
      <c r="E2682" s="7">
        <f t="shared" si="116"/>
        <v>1</v>
      </c>
      <c r="F2682" s="22" t="str">
        <f>IF(ISERROR(VLOOKUP($A2682,#REF!,3,0)),"x",VLOOKUP($A2682,#REF!,3,FALSE))</f>
        <v>x</v>
      </c>
      <c r="G2682" s="9">
        <f t="shared" si="121"/>
        <v>1</v>
      </c>
      <c r="H2682" s="13">
        <f t="shared" si="122"/>
        <v>2.5</v>
      </c>
    </row>
    <row r="2683" spans="1:8" x14ac:dyDescent="0.25">
      <c r="A2683" s="2" t="str">
        <f>"Z-FL10LS"</f>
        <v>Z-FL10LS</v>
      </c>
      <c r="B2683" s="2" t="str">
        <f>"FLEXY Zubehör Längsverbinder 2-polig, 10mm, IP20, SLIM, weiss"</f>
        <v>FLEXY Zubehör Längsverbinder 2-polig, 10mm, IP20, SLIM, weiss</v>
      </c>
      <c r="C2683" s="16">
        <v>2.5</v>
      </c>
      <c r="D2683" s="11">
        <v>228</v>
      </c>
      <c r="E2683" s="7">
        <f t="shared" si="116"/>
        <v>1</v>
      </c>
      <c r="F2683" s="22" t="str">
        <f>IF(ISERROR(VLOOKUP($A2683,#REF!,3,0)),"x",VLOOKUP($A2683,#REF!,3,FALSE))</f>
        <v>x</v>
      </c>
      <c r="G2683" s="9">
        <f t="shared" si="121"/>
        <v>1</v>
      </c>
      <c r="H2683" s="13">
        <f t="shared" si="122"/>
        <v>2.5</v>
      </c>
    </row>
    <row r="2684" spans="1:8" x14ac:dyDescent="0.25">
      <c r="A2684" s="2" t="str">
        <f>"Z-FL10LSIP"</f>
        <v>Z-FL10LSIP</v>
      </c>
      <c r="B2684" s="2" t="str">
        <f>"FLEXY Zubehör Längsverbinder 2-polig, 10mm, IP67, SLIM"</f>
        <v>FLEXY Zubehör Längsverbinder 2-polig, 10mm, IP67, SLIM</v>
      </c>
      <c r="C2684" s="16">
        <v>2.5</v>
      </c>
      <c r="D2684" s="11">
        <v>229</v>
      </c>
      <c r="E2684" s="7">
        <f t="shared" si="116"/>
        <v>1</v>
      </c>
      <c r="F2684" s="22" t="str">
        <f>IF(ISERROR(VLOOKUP($A2684,#REF!,3,0)),"x",VLOOKUP($A2684,#REF!,3,FALSE))</f>
        <v>x</v>
      </c>
      <c r="G2684" s="9">
        <f t="shared" si="121"/>
        <v>1</v>
      </c>
      <c r="H2684" s="13">
        <f t="shared" si="122"/>
        <v>2.5</v>
      </c>
    </row>
    <row r="2685" spans="1:8" x14ac:dyDescent="0.25">
      <c r="A2685" s="2" t="str">
        <f>"Z-FL10TWV"</f>
        <v>Z-FL10TWV</v>
      </c>
      <c r="B2685" s="2" t="str">
        <f>"FLEXY Zubehör T/Winkel Verbinder flexibel, kürzbar, 2-polig, 10mm, IP20"</f>
        <v>FLEXY Zubehör T/Winkel Verbinder flexibel, kürzbar, 2-polig, 10mm, IP20</v>
      </c>
      <c r="C2685" s="16">
        <v>2.5</v>
      </c>
      <c r="D2685" s="11">
        <v>228</v>
      </c>
      <c r="E2685" s="7">
        <f t="shared" si="116"/>
        <v>1</v>
      </c>
      <c r="F2685" s="22" t="str">
        <f>IF(ISERROR(VLOOKUP($A2685,#REF!,3,0)),"x",VLOOKUP($A2685,#REF!,3,FALSE))</f>
        <v>x</v>
      </c>
      <c r="G2685" s="9">
        <f t="shared" si="121"/>
        <v>1</v>
      </c>
      <c r="H2685" s="13">
        <f t="shared" si="122"/>
        <v>2.5</v>
      </c>
    </row>
    <row r="2686" spans="1:8" x14ac:dyDescent="0.25">
      <c r="A2686" s="2" t="str">
        <f>"Z-FL10TWVRGB"</f>
        <v>Z-FL10TWVRGB</v>
      </c>
      <c r="B2686" s="2" t="str">
        <f>"FLEXY Zubehör T/Winkel Verbinder flexibel, kürzbar, 4-polig, RGB, 10mm, IP20"</f>
        <v>FLEXY Zubehör T/Winkel Verbinder flexibel, kürzbar, 4-polig, RGB, 10mm, IP20</v>
      </c>
      <c r="C2686" s="16">
        <v>2.5</v>
      </c>
      <c r="D2686" s="11">
        <v>230</v>
      </c>
      <c r="E2686" s="7">
        <f t="shared" si="116"/>
        <v>1</v>
      </c>
      <c r="F2686" s="22" t="str">
        <f>IF(ISERROR(VLOOKUP($A2686,#REF!,3,0)),"x",VLOOKUP($A2686,#REF!,3,FALSE))</f>
        <v>x</v>
      </c>
      <c r="G2686" s="9">
        <f t="shared" si="121"/>
        <v>1</v>
      </c>
      <c r="H2686" s="13">
        <f t="shared" si="122"/>
        <v>2.5</v>
      </c>
    </row>
    <row r="2687" spans="1:8" x14ac:dyDescent="0.25">
      <c r="A2687" s="2" t="str">
        <f>"Z-FL10VKIP"</f>
        <v>Z-FL10VKIP</v>
      </c>
      <c r="B2687" s="2" t="str">
        <f>"FLEXY Zubehör Verbindungskabel 200mm, 2-polig, 10mm, IP68"</f>
        <v>FLEXY Zubehör Verbindungskabel 200mm, 2-polig, 10mm, IP68</v>
      </c>
      <c r="C2687" s="16">
        <v>5</v>
      </c>
      <c r="D2687" s="11">
        <v>229</v>
      </c>
      <c r="E2687" s="7">
        <f t="shared" si="116"/>
        <v>1</v>
      </c>
      <c r="F2687" s="22" t="str">
        <f>IF(ISERROR(VLOOKUP($A2687,#REF!,3,0)),"x",VLOOKUP($A2687,#REF!,3,FALSE))</f>
        <v>x</v>
      </c>
      <c r="G2687" s="9">
        <f t="shared" si="121"/>
        <v>1</v>
      </c>
      <c r="H2687" s="13">
        <f t="shared" si="122"/>
        <v>5</v>
      </c>
    </row>
    <row r="2688" spans="1:8" x14ac:dyDescent="0.25">
      <c r="A2688" s="2" t="str">
        <f>"Z-FL10ZULIP"</f>
        <v>Z-FL10ZULIP</v>
      </c>
      <c r="B2688" s="2" t="str">
        <f>"FLEXY Zubehör Zuleitung, 200mm, 10mm, IP68"</f>
        <v>FLEXY Zubehör Zuleitung, 200mm, 10mm, IP68</v>
      </c>
      <c r="C2688" s="16">
        <v>2.5</v>
      </c>
      <c r="D2688" s="11">
        <v>229</v>
      </c>
      <c r="E2688" s="7">
        <f t="shared" si="116"/>
        <v>1</v>
      </c>
      <c r="F2688" s="22" t="str">
        <f>IF(ISERROR(VLOOKUP($A2688,#REF!,3,0)),"x",VLOOKUP($A2688,#REF!,3,FALSE))</f>
        <v>x</v>
      </c>
      <c r="G2688" s="9">
        <f t="shared" ref="G2688:G2751" si="123">IF(C2688&lt;F2688,1,IF(C2688&gt;F2688,-1,0))</f>
        <v>1</v>
      </c>
      <c r="H2688" s="13">
        <f t="shared" si="122"/>
        <v>2.5</v>
      </c>
    </row>
    <row r="2689" spans="1:8" x14ac:dyDescent="0.25">
      <c r="A2689" s="2" t="str">
        <f>"Z-FL12ERGBW"</f>
        <v>Z-FL12ERGBW</v>
      </c>
      <c r="B2689" s="2" t="str">
        <f>"FLEXY Zubehör Einspeiser RGBW 5-polig, 12mm, IP20"</f>
        <v>FLEXY Zubehör Einspeiser RGBW 5-polig, 12mm, IP20</v>
      </c>
      <c r="C2689" s="16">
        <v>2.5</v>
      </c>
      <c r="D2689" s="11">
        <v>230</v>
      </c>
      <c r="E2689" s="7">
        <f t="shared" si="116"/>
        <v>1</v>
      </c>
      <c r="F2689" s="22" t="str">
        <f>IF(ISERROR(VLOOKUP($A2689,#REF!,3,0)),"x",VLOOKUP($A2689,#REF!,3,FALSE))</f>
        <v>x</v>
      </c>
      <c r="G2689" s="9">
        <f t="shared" si="123"/>
        <v>1</v>
      </c>
      <c r="H2689" s="13">
        <f t="shared" si="122"/>
        <v>2.5</v>
      </c>
    </row>
    <row r="2690" spans="1:8" x14ac:dyDescent="0.25">
      <c r="A2690" s="2" t="str">
        <f>"Z-FL12ESIP"</f>
        <v>Z-FL12ESIP</v>
      </c>
      <c r="B2690" s="2" t="str">
        <f>"FLEXY Zubehör Einspeiser 2-polig, 12mm, IP67, SLIM"</f>
        <v>FLEXY Zubehör Einspeiser 2-polig, 12mm, IP67, SLIM</v>
      </c>
      <c r="C2690" s="16">
        <v>2.5</v>
      </c>
      <c r="D2690" s="11">
        <v>229</v>
      </c>
      <c r="E2690" s="7">
        <f t="shared" si="116"/>
        <v>1</v>
      </c>
      <c r="F2690" s="22" t="str">
        <f>IF(ISERROR(VLOOKUP($A2690,#REF!,3,0)),"x",VLOOKUP($A2690,#REF!,3,FALSE))</f>
        <v>x</v>
      </c>
      <c r="G2690" s="9">
        <f t="shared" si="123"/>
        <v>1</v>
      </c>
      <c r="H2690" s="13">
        <f t="shared" ref="H2690:H2753" si="124">IF(F2690="x",C2690,F2690)</f>
        <v>2.5</v>
      </c>
    </row>
    <row r="2691" spans="1:8" x14ac:dyDescent="0.25">
      <c r="A2691" s="2" t="str">
        <f>"Z-FL12LRGBW"</f>
        <v>Z-FL12LRGBW</v>
      </c>
      <c r="B2691" s="2" t="str">
        <f>"FLEXY Zubehör Längsverbinder RGBW 5-polig, 12mm, IP20"</f>
        <v>FLEXY Zubehör Längsverbinder RGBW 5-polig, 12mm, IP20</v>
      </c>
      <c r="C2691" s="16">
        <v>2.5</v>
      </c>
      <c r="D2691" s="11">
        <v>230</v>
      </c>
      <c r="E2691" s="7">
        <f t="shared" si="116"/>
        <v>1</v>
      </c>
      <c r="F2691" s="22" t="str">
        <f>IF(ISERROR(VLOOKUP($A2691,#REF!,3,0)),"x",VLOOKUP($A2691,#REF!,3,FALSE))</f>
        <v>x</v>
      </c>
      <c r="G2691" s="9">
        <f t="shared" si="123"/>
        <v>1</v>
      </c>
      <c r="H2691" s="13">
        <f t="shared" si="124"/>
        <v>2.5</v>
      </c>
    </row>
    <row r="2692" spans="1:8" x14ac:dyDescent="0.25">
      <c r="A2692" s="2" t="str">
        <f>"Z-FL12LSIP"</f>
        <v>Z-FL12LSIP</v>
      </c>
      <c r="B2692" s="2" t="str">
        <f>"FLEXY Zubehör Längsverbinder 2-polig, 12mm, IP67, SLIM"</f>
        <v>FLEXY Zubehör Längsverbinder 2-polig, 12mm, IP67, SLIM</v>
      </c>
      <c r="C2692" s="16">
        <v>2.5</v>
      </c>
      <c r="D2692" s="11">
        <v>229</v>
      </c>
      <c r="E2692" s="7">
        <f t="shared" si="116"/>
        <v>1</v>
      </c>
      <c r="F2692" s="22" t="str">
        <f>IF(ISERROR(VLOOKUP($A2692,#REF!,3,0)),"x",VLOOKUP($A2692,#REF!,3,FALSE))</f>
        <v>x</v>
      </c>
      <c r="G2692" s="9">
        <f t="shared" si="123"/>
        <v>1</v>
      </c>
      <c r="H2692" s="13">
        <f t="shared" si="124"/>
        <v>2.5</v>
      </c>
    </row>
    <row r="2693" spans="1:8" x14ac:dyDescent="0.25">
      <c r="A2693" s="2" t="str">
        <f>"Z-FL12TWVRGBW"</f>
        <v>Z-FL12TWVRGBW</v>
      </c>
      <c r="B2693" s="2" t="str">
        <f>"FLEXY Zubehör T/Winkel Verbinder flexibel, kürzbar, 5-polig, RGBW, 12mm, IP20"</f>
        <v>FLEXY Zubehör T/Winkel Verbinder flexibel, kürzbar, 5-polig, RGBW, 12mm, IP20</v>
      </c>
      <c r="C2693" s="16">
        <v>2.5</v>
      </c>
      <c r="D2693" s="11">
        <v>230</v>
      </c>
      <c r="E2693" s="7">
        <f t="shared" si="116"/>
        <v>1</v>
      </c>
      <c r="F2693" s="22" t="str">
        <f>IF(ISERROR(VLOOKUP($A2693,#REF!,3,0)),"x",VLOOKUP($A2693,#REF!,3,FALSE))</f>
        <v>x</v>
      </c>
      <c r="G2693" s="9">
        <f t="shared" si="123"/>
        <v>1</v>
      </c>
      <c r="H2693" s="13">
        <f t="shared" si="124"/>
        <v>2.5</v>
      </c>
    </row>
    <row r="2694" spans="1:8" x14ac:dyDescent="0.25">
      <c r="A2694" s="2" t="str">
        <f>"Z-FL8E"</f>
        <v>Z-FL8E</v>
      </c>
      <c r="B2694" s="2" t="str">
        <f>"FLEXY Zubehör Einspeiser 2-polig, 8mm, IP20"</f>
        <v>FLEXY Zubehör Einspeiser 2-polig, 8mm, IP20</v>
      </c>
      <c r="C2694" s="16">
        <v>2.5</v>
      </c>
      <c r="D2694" s="11">
        <v>228</v>
      </c>
      <c r="E2694" s="7">
        <f t="shared" si="116"/>
        <v>1</v>
      </c>
      <c r="F2694" s="22" t="str">
        <f>IF(ISERROR(VLOOKUP($A2694,#REF!,3,0)),"x",VLOOKUP($A2694,#REF!,3,FALSE))</f>
        <v>x</v>
      </c>
      <c r="G2694" s="9">
        <f t="shared" si="123"/>
        <v>1</v>
      </c>
      <c r="H2694" s="13">
        <f t="shared" si="124"/>
        <v>2.5</v>
      </c>
    </row>
    <row r="2695" spans="1:8" x14ac:dyDescent="0.25">
      <c r="A2695" s="2" t="str">
        <f>"Z-FL8ES"</f>
        <v>Z-FL8ES</v>
      </c>
      <c r="B2695" s="2" t="str">
        <f>"FLEXY Zubehör Einspeiser 2-polig, 8mm, IP20, SLIM, weiss"</f>
        <v>FLEXY Zubehör Einspeiser 2-polig, 8mm, IP20, SLIM, weiss</v>
      </c>
      <c r="C2695" s="16">
        <v>2.5</v>
      </c>
      <c r="D2695" s="11">
        <v>228</v>
      </c>
      <c r="E2695" s="7">
        <f t="shared" si="116"/>
        <v>1</v>
      </c>
      <c r="F2695" s="22" t="str">
        <f>IF(ISERROR(VLOOKUP($A2695,#REF!,3,0)),"x",VLOOKUP($A2695,#REF!,3,FALSE))</f>
        <v>x</v>
      </c>
      <c r="G2695" s="9">
        <f t="shared" si="123"/>
        <v>1</v>
      </c>
      <c r="H2695" s="13">
        <f t="shared" si="124"/>
        <v>2.5</v>
      </c>
    </row>
    <row r="2696" spans="1:8" x14ac:dyDescent="0.25">
      <c r="A2696" s="2" t="str">
        <f>"Z-FL8L"</f>
        <v>Z-FL8L</v>
      </c>
      <c r="B2696" s="2" t="str">
        <f>"FLEXY Zubehör Längsverbinder 2-polig, 8mm, IP20"</f>
        <v>FLEXY Zubehör Längsverbinder 2-polig, 8mm, IP20</v>
      </c>
      <c r="C2696" s="16">
        <v>2.5</v>
      </c>
      <c r="D2696" s="11">
        <v>228</v>
      </c>
      <c r="E2696" s="7">
        <f t="shared" si="116"/>
        <v>1</v>
      </c>
      <c r="F2696" s="22" t="str">
        <f>IF(ISERROR(VLOOKUP($A2696,#REF!,3,0)),"x",VLOOKUP($A2696,#REF!,3,FALSE))</f>
        <v>x</v>
      </c>
      <c r="G2696" s="9">
        <f t="shared" si="123"/>
        <v>1</v>
      </c>
      <c r="H2696" s="13">
        <f t="shared" si="124"/>
        <v>2.5</v>
      </c>
    </row>
    <row r="2697" spans="1:8" x14ac:dyDescent="0.25">
      <c r="A2697" s="2" t="str">
        <f>"Z-FL8LS"</f>
        <v>Z-FL8LS</v>
      </c>
      <c r="B2697" s="2" t="str">
        <f>"FLEXY Zubehör Längsverbinder 2-polig, 8mm, IP20, SLIM, weiss"</f>
        <v>FLEXY Zubehör Längsverbinder 2-polig, 8mm, IP20, SLIM, weiss</v>
      </c>
      <c r="C2697" s="16">
        <v>2.5</v>
      </c>
      <c r="D2697" s="11">
        <v>228</v>
      </c>
      <c r="E2697" s="7">
        <f t="shared" si="116"/>
        <v>1</v>
      </c>
      <c r="F2697" s="22" t="str">
        <f>IF(ISERROR(VLOOKUP($A2697,#REF!,3,0)),"x",VLOOKUP($A2697,#REF!,3,FALSE))</f>
        <v>x</v>
      </c>
      <c r="G2697" s="9">
        <f t="shared" si="123"/>
        <v>1</v>
      </c>
      <c r="H2697" s="13">
        <f t="shared" si="124"/>
        <v>2.5</v>
      </c>
    </row>
    <row r="2698" spans="1:8" x14ac:dyDescent="0.25">
      <c r="A2698" s="2" t="str">
        <f>"Z-FL8TWV"</f>
        <v>Z-FL8TWV</v>
      </c>
      <c r="B2698" s="2" t="str">
        <f>"FLEXY Zubehör T/Winkel Verbinder flexibel, kürzbar, 2-polig, 8mm, IP20"</f>
        <v>FLEXY Zubehör T/Winkel Verbinder flexibel, kürzbar, 2-polig, 8mm, IP20</v>
      </c>
      <c r="C2698" s="16">
        <v>2.5</v>
      </c>
      <c r="D2698" s="11">
        <v>228</v>
      </c>
      <c r="E2698" s="7">
        <f t="shared" si="116"/>
        <v>1</v>
      </c>
      <c r="F2698" s="22" t="str">
        <f>IF(ISERROR(VLOOKUP($A2698,#REF!,3,0)),"x",VLOOKUP($A2698,#REF!,3,FALSE))</f>
        <v>x</v>
      </c>
      <c r="G2698" s="9">
        <f t="shared" si="123"/>
        <v>1</v>
      </c>
      <c r="H2698" s="13">
        <f t="shared" si="124"/>
        <v>2.5</v>
      </c>
    </row>
    <row r="2699" spans="1:8" x14ac:dyDescent="0.25">
      <c r="A2699" s="2" t="str">
        <f>"Z-FLLTV"</f>
        <v>Z-FLLTV</v>
      </c>
      <c r="B2699" s="2" t="str">
        <f>"FLEXY Zubehör Kabel-Schnellklemme 1-polig, 0,5mm² "</f>
        <v xml:space="preserve">FLEXY Zubehör Kabel-Schnellklemme 1-polig, 0,5mm² </v>
      </c>
      <c r="C2699" s="16">
        <v>2.5</v>
      </c>
      <c r="D2699" s="11">
        <v>228</v>
      </c>
      <c r="E2699" s="7">
        <f t="shared" si="116"/>
        <v>1</v>
      </c>
      <c r="F2699" s="22" t="str">
        <f>IF(ISERROR(VLOOKUP($A2699,#REF!,3,0)),"x",VLOOKUP($A2699,#REF!,3,FALSE))</f>
        <v>x</v>
      </c>
      <c r="G2699" s="9">
        <f t="shared" si="123"/>
        <v>1</v>
      </c>
      <c r="H2699" s="13">
        <f t="shared" si="124"/>
        <v>2.5</v>
      </c>
    </row>
    <row r="2700" spans="1:8" x14ac:dyDescent="0.25">
      <c r="A2700" s="2" t="str">
        <f>"Z-FLLV"</f>
        <v>Z-FLLV</v>
      </c>
      <c r="B2700" s="2" t="str">
        <f>"FLEXY Zubehör Kabel-Schnellklemme 2-polig, 0,5mm² "</f>
        <v xml:space="preserve">FLEXY Zubehör Kabel-Schnellklemme 2-polig, 0,5mm² </v>
      </c>
      <c r="C2700" s="16">
        <v>2.5</v>
      </c>
      <c r="D2700" s="11">
        <v>228</v>
      </c>
      <c r="E2700" s="7">
        <f t="shared" si="116"/>
        <v>1</v>
      </c>
      <c r="F2700" s="22" t="str">
        <f>IF(ISERROR(VLOOKUP($A2700,#REF!,3,0)),"x",VLOOKUP($A2700,#REF!,3,FALSE))</f>
        <v>x</v>
      </c>
      <c r="G2700" s="9">
        <f t="shared" si="123"/>
        <v>1</v>
      </c>
      <c r="H2700" s="13">
        <f t="shared" si="124"/>
        <v>2.5</v>
      </c>
    </row>
    <row r="2701" spans="1:8" x14ac:dyDescent="0.25">
      <c r="A2701" s="2" t="str">
        <f>"Z-FLRGBKABEL"</f>
        <v>Z-FLRGBKABEL</v>
      </c>
      <c r="B2701" s="2" t="str">
        <f>"FLEXY Zubehör RGB Verbindungskabel, 4-polig"</f>
        <v>FLEXY Zubehör RGB Verbindungskabel, 4-polig</v>
      </c>
      <c r="C2701" s="16">
        <v>2.5</v>
      </c>
      <c r="D2701" s="11">
        <v>230</v>
      </c>
      <c r="E2701" s="7">
        <f t="shared" si="116"/>
        <v>1</v>
      </c>
      <c r="F2701" s="22" t="str">
        <f>IF(ISERROR(VLOOKUP($A2701,#REF!,3,0)),"x",VLOOKUP($A2701,#REF!,3,FALSE))</f>
        <v>x</v>
      </c>
      <c r="G2701" s="9">
        <f t="shared" si="123"/>
        <v>1</v>
      </c>
      <c r="H2701" s="13">
        <f t="shared" si="124"/>
        <v>2.5</v>
      </c>
    </row>
    <row r="2702" spans="1:8" x14ac:dyDescent="0.25">
      <c r="A2702" s="2" t="str">
        <f>"Z-FLRGBST"</f>
        <v>Z-FLRGBST</v>
      </c>
      <c r="B2702" s="2" t="str">
        <f>"FLEXY Zubehör RGB Mini-Stecker, Kontaktblock, 4-polig"</f>
        <v>FLEXY Zubehör RGB Mini-Stecker, Kontaktblock, 4-polig</v>
      </c>
      <c r="C2702" s="16">
        <v>2.5</v>
      </c>
      <c r="D2702" s="11">
        <v>230</v>
      </c>
      <c r="E2702" s="7">
        <f t="shared" si="116"/>
        <v>1</v>
      </c>
      <c r="F2702" s="22" t="str">
        <f>IF(ISERROR(VLOOKUP($A2702,#REF!,3,0)),"x",VLOOKUP($A2702,#REF!,3,FALSE))</f>
        <v>x</v>
      </c>
      <c r="G2702" s="9">
        <f t="shared" si="123"/>
        <v>1</v>
      </c>
      <c r="H2702" s="13">
        <f t="shared" si="124"/>
        <v>2.5</v>
      </c>
    </row>
    <row r="2703" spans="1:8" x14ac:dyDescent="0.25">
      <c r="A2703" s="2" t="str">
        <f>"Z-FLRGBWKABEL"</f>
        <v>Z-FLRGBWKABEL</v>
      </c>
      <c r="B2703" s="2" t="str">
        <f>"FLEXY Zubehör RGBW Verbindungskabel, 5-polig"</f>
        <v>FLEXY Zubehör RGBW Verbindungskabel, 5-polig</v>
      </c>
      <c r="C2703" s="16">
        <v>2.5</v>
      </c>
      <c r="D2703" s="11">
        <v>230</v>
      </c>
      <c r="E2703" s="7">
        <f t="shared" si="116"/>
        <v>1</v>
      </c>
      <c r="F2703" s="22" t="str">
        <f>IF(ISERROR(VLOOKUP($A2703,#REF!,3,0)),"x",VLOOKUP($A2703,#REF!,3,FALSE))</f>
        <v>x</v>
      </c>
      <c r="G2703" s="9">
        <f t="shared" si="123"/>
        <v>1</v>
      </c>
      <c r="H2703" s="13">
        <f t="shared" si="124"/>
        <v>2.5</v>
      </c>
    </row>
    <row r="2704" spans="1:8" x14ac:dyDescent="0.25">
      <c r="A2704" s="2" t="str">
        <f>"Z-FLRGBWST"</f>
        <v>Z-FLRGBWST</v>
      </c>
      <c r="B2704" s="2" t="str">
        <f>"FLEXY Zubehör RGBW Mini-Stecker, Kontaktblock, 5-polig"</f>
        <v>FLEXY Zubehör RGBW Mini-Stecker, Kontaktblock, 5-polig</v>
      </c>
      <c r="C2704" s="16">
        <v>2.5</v>
      </c>
      <c r="D2704" s="11">
        <v>230</v>
      </c>
      <c r="E2704" s="7">
        <f t="shared" si="116"/>
        <v>1</v>
      </c>
      <c r="F2704" s="22" t="str">
        <f>IF(ISERROR(VLOOKUP($A2704,#REF!,3,0)),"x",VLOOKUP($A2704,#REF!,3,FALSE))</f>
        <v>x</v>
      </c>
      <c r="G2704" s="9">
        <f t="shared" si="123"/>
        <v>1</v>
      </c>
      <c r="H2704" s="13">
        <f t="shared" si="124"/>
        <v>2.5</v>
      </c>
    </row>
    <row r="2705" spans="1:8" x14ac:dyDescent="0.25">
      <c r="A2705" s="2" t="str">
        <f>"Z-FLVERTEILER2"</f>
        <v>Z-FLVERTEILER2</v>
      </c>
      <c r="B2705" s="2" t="str">
        <f>"FLEXY Zubehör Verteiler 2-fach, 0,5mm² "</f>
        <v xml:space="preserve">FLEXY Zubehör Verteiler 2-fach, 0,5mm² </v>
      </c>
      <c r="C2705" s="16">
        <v>7.5</v>
      </c>
      <c r="D2705" s="11">
        <v>228</v>
      </c>
      <c r="E2705" s="7">
        <f t="shared" si="116"/>
        <v>1</v>
      </c>
      <c r="F2705" s="22" t="str">
        <f>IF(ISERROR(VLOOKUP($A2705,#REF!,3,0)),"x",VLOOKUP($A2705,#REF!,3,FALSE))</f>
        <v>x</v>
      </c>
      <c r="G2705" s="9">
        <f t="shared" si="123"/>
        <v>1</v>
      </c>
      <c r="H2705" s="13">
        <f t="shared" si="124"/>
        <v>7.5</v>
      </c>
    </row>
    <row r="2706" spans="1:8" x14ac:dyDescent="0.25">
      <c r="A2706" s="2" t="str">
        <f>"Z-G2"</f>
        <v>Z-G2</v>
      </c>
      <c r="B2706" s="2" t="str">
        <f>"5080NE Gelenkauslegerpaar für Small, Midi, Maxi, S-Maxi, Volta, schwarz"</f>
        <v>5080NE Gelenkauslegerpaar für Small, Midi, Maxi, S-Maxi, Volta, schwarz</v>
      </c>
      <c r="C2706" s="16">
        <v>62.5</v>
      </c>
      <c r="D2706" s="11">
        <v>286</v>
      </c>
      <c r="E2706" s="7">
        <f t="shared" si="116"/>
        <v>1</v>
      </c>
      <c r="F2706" s="22" t="str">
        <f>IF(ISERROR(VLOOKUP($A2706,#REF!,3,0)),"x",VLOOKUP($A2706,#REF!,3,FALSE))</f>
        <v>x</v>
      </c>
      <c r="G2706" s="9">
        <f t="shared" si="123"/>
        <v>1</v>
      </c>
      <c r="H2706" s="13">
        <f t="shared" si="124"/>
        <v>62.5</v>
      </c>
    </row>
    <row r="2707" spans="1:8" x14ac:dyDescent="0.25">
      <c r="A2707" s="2" t="str">
        <f>"Z-G7"</f>
        <v>Z-G7</v>
      </c>
      <c r="B2707" s="2" t="str">
        <f>"5080AG Gelenkauslegerpaar für Small, Midi, Maxi, S-Maxi, Volta, aluminiumgrau"</f>
        <v>5080AG Gelenkauslegerpaar für Small, Midi, Maxi, S-Maxi, Volta, aluminiumgrau</v>
      </c>
      <c r="C2707" s="16">
        <v>62.5</v>
      </c>
      <c r="D2707" s="11">
        <v>286</v>
      </c>
      <c r="E2707" s="7">
        <f t="shared" si="116"/>
        <v>1</v>
      </c>
      <c r="F2707" s="22" t="str">
        <f>IF(ISERROR(VLOOKUP($A2707,#REF!,3,0)),"x",VLOOKUP($A2707,#REF!,3,FALSE))</f>
        <v>x</v>
      </c>
      <c r="G2707" s="9">
        <f t="shared" si="123"/>
        <v>1</v>
      </c>
      <c r="H2707" s="13">
        <f t="shared" si="124"/>
        <v>62.5</v>
      </c>
    </row>
    <row r="2708" spans="1:8" x14ac:dyDescent="0.25">
      <c r="A2708" s="2" t="str">
        <f>"Z-HIKIT-CH"</f>
        <v>Z-HIKIT-CH</v>
      </c>
      <c r="B2708" s="2" t="str">
        <f>"HV-Halogenfassung, GU10, 230/240V inkl. ca. 160mm Kabelzuleitung"</f>
        <v>HV-Halogenfassung, GU10, 230/240V inkl. ca. 160mm Kabelzuleitung</v>
      </c>
      <c r="C2708" s="16">
        <v>3.25</v>
      </c>
      <c r="D2708" s="11">
        <v>376</v>
      </c>
      <c r="E2708" s="7">
        <f t="shared" si="116"/>
        <v>1</v>
      </c>
      <c r="F2708" s="22" t="str">
        <f>IF(ISERROR(VLOOKUP($A2708,#REF!,3,0)),"x",VLOOKUP($A2708,#REF!,3,FALSE))</f>
        <v>x</v>
      </c>
      <c r="G2708" s="9">
        <f t="shared" si="123"/>
        <v>1</v>
      </c>
      <c r="H2708" s="13">
        <f t="shared" si="124"/>
        <v>3.25</v>
      </c>
    </row>
    <row r="2709" spans="1:8" x14ac:dyDescent="0.25">
      <c r="A2709" s="2" t="str">
        <f>"Z-KSM"</f>
        <v>Z-KSM</v>
      </c>
      <c r="B2709" s="2" t="str">
        <f>"5692NE Kabelkanal für SuperMaxiLED in Alu L=3200mm, schwarz"</f>
        <v>5692NE Kabelkanal für SuperMaxiLED in Alu L=3200mm, schwarz</v>
      </c>
      <c r="C2709" s="16">
        <v>242.5</v>
      </c>
      <c r="D2709" s="11">
        <v>286</v>
      </c>
      <c r="E2709" s="7">
        <f t="shared" si="116"/>
        <v>1</v>
      </c>
      <c r="F2709" s="22" t="str">
        <f>IF(ISERROR(VLOOKUP($A2709,#REF!,3,0)),"x",VLOOKUP($A2709,#REF!,3,FALSE))</f>
        <v>x</v>
      </c>
      <c r="G2709" s="9">
        <f t="shared" si="123"/>
        <v>1</v>
      </c>
      <c r="H2709" s="13">
        <f t="shared" si="124"/>
        <v>242.5</v>
      </c>
    </row>
    <row r="2710" spans="1:8" x14ac:dyDescent="0.25">
      <c r="A2710" s="2" t="str">
        <f>"Z-LEST2501"</f>
        <v>Z-LEST2501</v>
      </c>
      <c r="B2710" s="2" t="str">
        <f>"Verbindungskabel 250mm für LEST-xx, weiss"</f>
        <v>Verbindungskabel 250mm für LEST-xx, weiss</v>
      </c>
      <c r="C2710" s="16">
        <v>5.25</v>
      </c>
      <c r="D2710" s="11">
        <v>87</v>
      </c>
      <c r="E2710" s="7">
        <f t="shared" si="116"/>
        <v>1</v>
      </c>
      <c r="F2710" s="22" t="str">
        <f>IF(ISERROR(VLOOKUP($A2710,#REF!,3,0)),"x",VLOOKUP($A2710,#REF!,3,FALSE))</f>
        <v>x</v>
      </c>
      <c r="G2710" s="9">
        <f t="shared" si="123"/>
        <v>1</v>
      </c>
      <c r="H2710" s="13">
        <f t="shared" si="124"/>
        <v>5.25</v>
      </c>
    </row>
    <row r="2711" spans="1:8" x14ac:dyDescent="0.25">
      <c r="A2711" s="2" t="str">
        <f>"Z-LEST5001"</f>
        <v>Z-LEST5001</v>
      </c>
      <c r="B2711" s="2" t="str">
        <f>"Verbindungskabel 500mm für LEST-xx, weiss"</f>
        <v>Verbindungskabel 500mm für LEST-xx, weiss</v>
      </c>
      <c r="C2711" s="16">
        <v>5.75</v>
      </c>
      <c r="D2711" s="11">
        <v>87</v>
      </c>
      <c r="E2711" s="7">
        <f t="shared" si="116"/>
        <v>1</v>
      </c>
      <c r="F2711" s="22" t="str">
        <f>IF(ISERROR(VLOOKUP($A2711,#REF!,3,0)),"x",VLOOKUP($A2711,#REF!,3,FALSE))</f>
        <v>x</v>
      </c>
      <c r="G2711" s="9">
        <f t="shared" si="123"/>
        <v>1</v>
      </c>
      <c r="H2711" s="13">
        <f t="shared" si="124"/>
        <v>5.75</v>
      </c>
    </row>
    <row r="2712" spans="1:8" x14ac:dyDescent="0.25">
      <c r="A2712" s="2" t="str">
        <f>"Z-LK3W-1"</f>
        <v>Z-LK3W-1</v>
      </c>
      <c r="B2712" s="2" t="str">
        <f>"1091 Konvexlinse für 1 Streifen, passend für Wandaußenleuchte K3 WRITER"</f>
        <v>1091 Konvexlinse für 1 Streifen, passend für Wandaußenleuchte K3 WRITER</v>
      </c>
      <c r="C2712" s="16">
        <v>52.25</v>
      </c>
      <c r="D2712" s="11">
        <v>282</v>
      </c>
      <c r="E2712" s="7">
        <f t="shared" si="116"/>
        <v>1</v>
      </c>
      <c r="F2712" s="22" t="str">
        <f>IF(ISERROR(VLOOKUP($A2712,#REF!,3,0)),"x",VLOOKUP($A2712,#REF!,3,FALSE))</f>
        <v>x</v>
      </c>
      <c r="G2712" s="9">
        <f t="shared" si="123"/>
        <v>1</v>
      </c>
      <c r="H2712" s="13">
        <f t="shared" si="124"/>
        <v>52.25</v>
      </c>
    </row>
    <row r="2713" spans="1:8" x14ac:dyDescent="0.25">
      <c r="A2713" s="2" t="str">
        <f>"Z-LK3W-5"</f>
        <v>Z-LK3W-5</v>
      </c>
      <c r="B2713" s="2" t="str">
        <f>"1092 Konvexlinse für 5 Streifen, passend für Wandaußenleuchte K3 WRITER"</f>
        <v>1092 Konvexlinse für 5 Streifen, passend für Wandaußenleuchte K3 WRITER</v>
      </c>
      <c r="C2713" s="16">
        <v>49.5</v>
      </c>
      <c r="D2713" s="11">
        <v>282</v>
      </c>
      <c r="E2713" s="7">
        <f t="shared" si="116"/>
        <v>1</v>
      </c>
      <c r="F2713" s="22" t="str">
        <f>IF(ISERROR(VLOOKUP($A2713,#REF!,3,0)),"x",VLOOKUP($A2713,#REF!,3,FALSE))</f>
        <v>x</v>
      </c>
      <c r="G2713" s="9">
        <f t="shared" si="123"/>
        <v>1</v>
      </c>
      <c r="H2713" s="13">
        <f t="shared" si="124"/>
        <v>49.5</v>
      </c>
    </row>
    <row r="2714" spans="1:8" x14ac:dyDescent="0.25">
      <c r="A2714" s="2" t="str">
        <f>"Z-LLED"</f>
        <v>Z-LLED</v>
      </c>
      <c r="B2714" s="2" t="str">
        <f>"Y-Stahlseilabhängung-Set "</f>
        <v xml:space="preserve">Y-Stahlseilabhängung-Set </v>
      </c>
      <c r="C2714" s="16">
        <v>22.25</v>
      </c>
      <c r="D2714" s="11">
        <v>195</v>
      </c>
      <c r="E2714" s="7">
        <f t="shared" si="116"/>
        <v>1</v>
      </c>
      <c r="F2714" s="22" t="str">
        <f>IF(ISERROR(VLOOKUP($A2714,#REF!,3,0)),"x",VLOOKUP($A2714,#REF!,3,FALSE))</f>
        <v>x</v>
      </c>
      <c r="G2714" s="9">
        <f t="shared" si="123"/>
        <v>1</v>
      </c>
      <c r="H2714" s="13">
        <f t="shared" si="124"/>
        <v>22.25</v>
      </c>
    </row>
    <row r="2715" spans="1:8" x14ac:dyDescent="0.25">
      <c r="A2715" s="2" t="str">
        <f>"Z-LR0N"</f>
        <v>Z-LR0N</v>
      </c>
      <c r="B2715" s="2" t="str">
        <f>"Montageset zur Anbaumontage für LR-xx, aus Edelstahl"</f>
        <v>Montageset zur Anbaumontage für LR-xx, aus Edelstahl</v>
      </c>
      <c r="C2715" s="16">
        <v>45.5</v>
      </c>
      <c r="D2715" s="11">
        <v>211</v>
      </c>
      <c r="E2715" s="7">
        <f t="shared" si="116"/>
        <v>1</v>
      </c>
      <c r="F2715" s="22" t="str">
        <f>IF(ISERROR(VLOOKUP($A2715,#REF!,3,0)),"x",VLOOKUP($A2715,#REF!,3,FALSE))</f>
        <v>x</v>
      </c>
      <c r="G2715" s="9">
        <f t="shared" si="123"/>
        <v>1</v>
      </c>
      <c r="H2715" s="13">
        <f t="shared" si="124"/>
        <v>45.5</v>
      </c>
    </row>
    <row r="2716" spans="1:8" x14ac:dyDescent="0.25">
      <c r="A2716" s="2" t="str">
        <f>"Z-LR1"</f>
        <v>Z-LR1</v>
      </c>
      <c r="B2716" s="2" t="str">
        <f>"Montageset, zur Anbaumontage für LR-xx, aus Kunststoff"</f>
        <v>Montageset, zur Anbaumontage für LR-xx, aus Kunststoff</v>
      </c>
      <c r="C2716" s="16">
        <v>9.75</v>
      </c>
      <c r="D2716" s="11">
        <v>211</v>
      </c>
      <c r="E2716" s="7">
        <f t="shared" si="116"/>
        <v>1</v>
      </c>
      <c r="F2716" s="22" t="str">
        <f>IF(ISERROR(VLOOKUP($A2716,#REF!,3,0)),"x",VLOOKUP($A2716,#REF!,3,FALSE))</f>
        <v>x</v>
      </c>
      <c r="G2716" s="9">
        <f t="shared" si="123"/>
        <v>1</v>
      </c>
      <c r="H2716" s="13">
        <f t="shared" si="124"/>
        <v>9.75</v>
      </c>
    </row>
    <row r="2717" spans="1:8" x14ac:dyDescent="0.25">
      <c r="A2717" s="2" t="str">
        <f>"Z-LR2"</f>
        <v>Z-LR2</v>
      </c>
      <c r="B2717" s="2" t="str">
        <f>"Montageset, zur Pendelmontage für LR-xx"</f>
        <v>Montageset, zur Pendelmontage für LR-xx</v>
      </c>
      <c r="C2717" s="16">
        <v>44.5</v>
      </c>
      <c r="D2717" s="11">
        <v>211</v>
      </c>
      <c r="E2717" s="7">
        <f t="shared" si="116"/>
        <v>1</v>
      </c>
      <c r="F2717" s="22" t="str">
        <f>IF(ISERROR(VLOOKUP($A2717,#REF!,3,0)),"x",VLOOKUP($A2717,#REF!,3,FALSE))</f>
        <v>x</v>
      </c>
      <c r="G2717" s="9">
        <f t="shared" si="123"/>
        <v>1</v>
      </c>
      <c r="H2717" s="13">
        <f t="shared" si="124"/>
        <v>44.5</v>
      </c>
    </row>
    <row r="2718" spans="1:8" x14ac:dyDescent="0.25">
      <c r="A2718" s="2" t="str">
        <f>"Z-LU188"</f>
        <v>Z-LU188</v>
      </c>
      <c r="B2718" s="2" t="str">
        <f>"9211 LUNETTE Abstandshalter ø188 mm"</f>
        <v>9211 LUNETTE Abstandshalter ø188 mm</v>
      </c>
      <c r="C2718" s="16">
        <v>36.5</v>
      </c>
      <c r="D2718" s="11">
        <v>259</v>
      </c>
      <c r="E2718" s="7">
        <f t="shared" si="116"/>
        <v>1</v>
      </c>
      <c r="F2718" s="22" t="str">
        <f>IF(ISERROR(VLOOKUP($A2718,#REF!,3,0)),"x",VLOOKUP($A2718,#REF!,3,FALSE))</f>
        <v>x</v>
      </c>
      <c r="G2718" s="9">
        <f t="shared" si="123"/>
        <v>1</v>
      </c>
      <c r="H2718" s="13">
        <f t="shared" si="124"/>
        <v>36.5</v>
      </c>
    </row>
    <row r="2719" spans="1:8" x14ac:dyDescent="0.25">
      <c r="A2719" s="2" t="str">
        <f>"Z-LU314"</f>
        <v>Z-LU314</v>
      </c>
      <c r="B2719" s="2" t="str">
        <f>"9212 LUNETTE Abstandshalter ø314 mm"</f>
        <v>9212 LUNETTE Abstandshalter ø314 mm</v>
      </c>
      <c r="C2719" s="16">
        <v>54.75</v>
      </c>
      <c r="D2719" s="11">
        <v>259</v>
      </c>
      <c r="E2719" s="7">
        <f t="shared" si="116"/>
        <v>1</v>
      </c>
      <c r="F2719" s="22" t="str">
        <f>IF(ISERROR(VLOOKUP($A2719,#REF!,3,0)),"x",VLOOKUP($A2719,#REF!,3,FALSE))</f>
        <v>x</v>
      </c>
      <c r="G2719" s="9">
        <f t="shared" si="123"/>
        <v>1</v>
      </c>
      <c r="H2719" s="13">
        <f t="shared" si="124"/>
        <v>54.75</v>
      </c>
    </row>
    <row r="2720" spans="1:8" x14ac:dyDescent="0.25">
      <c r="A2720" s="2" t="str">
        <f>"Z-MIR"</f>
        <v>Z-MIR</v>
      </c>
      <c r="B2720" s="2" t="str">
        <f>"Adapter für Mastmontage von MIRON"</f>
        <v>Adapter für Mastmontage von MIRON</v>
      </c>
      <c r="C2720" s="16">
        <v>95.75</v>
      </c>
      <c r="D2720" s="11">
        <v>362</v>
      </c>
      <c r="E2720" s="7">
        <f t="shared" si="116"/>
        <v>1</v>
      </c>
      <c r="F2720" s="22" t="str">
        <f>IF(ISERROR(VLOOKUP($A2720,#REF!,3,0)),"x",VLOOKUP($A2720,#REF!,3,FALSE))</f>
        <v>x</v>
      </c>
      <c r="G2720" s="9">
        <f t="shared" si="123"/>
        <v>1</v>
      </c>
      <c r="H2720" s="13">
        <f t="shared" si="124"/>
        <v>95.75</v>
      </c>
    </row>
    <row r="2721" spans="1:8" x14ac:dyDescent="0.25">
      <c r="A2721" s="2" t="str">
        <f>"Z-NAH1501"</f>
        <v>Z-NAH1501</v>
      </c>
      <c r="B2721" s="2" t="str">
        <f>"Verbindungskabel 150mm für NAH-xx, weiss"</f>
        <v>Verbindungskabel 150mm für NAH-xx, weiss</v>
      </c>
      <c r="C2721" s="16">
        <v>8</v>
      </c>
      <c r="D2721" s="11">
        <v>89</v>
      </c>
      <c r="E2721" s="7">
        <f t="shared" si="116"/>
        <v>1</v>
      </c>
      <c r="F2721" s="22" t="str">
        <f>IF(ISERROR(VLOOKUP($A2721,#REF!,3,0)),"x",VLOOKUP($A2721,#REF!,3,FALSE))</f>
        <v>x</v>
      </c>
      <c r="G2721" s="9">
        <f t="shared" si="123"/>
        <v>1</v>
      </c>
      <c r="H2721" s="13">
        <f t="shared" si="124"/>
        <v>8</v>
      </c>
    </row>
    <row r="2722" spans="1:8" x14ac:dyDescent="0.25">
      <c r="A2722" s="2" t="str">
        <f>"Z-NAH45"</f>
        <v>Z-NAH45</v>
      </c>
      <c r="B2722" s="2" t="str">
        <f>"NAH Winkelbügel zur 45° Montage"</f>
        <v>NAH Winkelbügel zur 45° Montage</v>
      </c>
      <c r="C2722" s="16">
        <v>2.75</v>
      </c>
      <c r="D2722" s="11">
        <v>89</v>
      </c>
      <c r="E2722" s="7">
        <f t="shared" si="116"/>
        <v>1</v>
      </c>
      <c r="F2722" s="22" t="str">
        <f>IF(ISERROR(VLOOKUP($A2722,#REF!,3,0)),"x",VLOOKUP($A2722,#REF!,3,FALSE))</f>
        <v>x</v>
      </c>
      <c r="G2722" s="9">
        <f t="shared" si="123"/>
        <v>1</v>
      </c>
      <c r="H2722" s="13">
        <f t="shared" si="124"/>
        <v>2.75</v>
      </c>
    </row>
    <row r="2723" spans="1:8" x14ac:dyDescent="0.25">
      <c r="A2723" s="2" t="str">
        <f>"Z-NAH6001"</f>
        <v>Z-NAH6001</v>
      </c>
      <c r="B2723" s="2" t="str">
        <f>"Verbindungskabel 600mm für NAH-xx, weiss"</f>
        <v>Verbindungskabel 600mm für NAH-xx, weiss</v>
      </c>
      <c r="C2723" s="16">
        <v>9.25</v>
      </c>
      <c r="D2723" s="11">
        <v>89</v>
      </c>
      <c r="E2723" s="7">
        <f t="shared" si="116"/>
        <v>1</v>
      </c>
      <c r="F2723" s="22" t="str">
        <f>IF(ISERROR(VLOOKUP($A2723,#REF!,3,0)),"x",VLOOKUP($A2723,#REF!,3,FALSE))</f>
        <v>x</v>
      </c>
      <c r="G2723" s="9">
        <f t="shared" si="123"/>
        <v>1</v>
      </c>
      <c r="H2723" s="13">
        <f t="shared" si="124"/>
        <v>9.25</v>
      </c>
    </row>
    <row r="2724" spans="1:8" x14ac:dyDescent="0.25">
      <c r="A2724" s="2" t="str">
        <f>"Z-NAHMAG"</f>
        <v>Z-NAHMAG</v>
      </c>
      <c r="B2724" s="2" t="str">
        <f>"Magnetset für NAH bestehend aus 2 Stahlbügel und 4 Schrauben"</f>
        <v>Magnetset für NAH bestehend aus 2 Stahlbügel und 4 Schrauben</v>
      </c>
      <c r="C2724" s="16">
        <v>1.75</v>
      </c>
      <c r="D2724" s="11">
        <v>89</v>
      </c>
      <c r="E2724" s="7">
        <f t="shared" si="116"/>
        <v>1</v>
      </c>
      <c r="F2724" s="22" t="str">
        <f>IF(ISERROR(VLOOKUP($A2724,#REF!,3,0)),"x",VLOOKUP($A2724,#REF!,3,FALSE))</f>
        <v>x</v>
      </c>
      <c r="G2724" s="9">
        <f t="shared" si="123"/>
        <v>1</v>
      </c>
      <c r="H2724" s="13">
        <f t="shared" si="124"/>
        <v>1.75</v>
      </c>
    </row>
    <row r="2725" spans="1:8" x14ac:dyDescent="0.25">
      <c r="A2725" s="2" t="str">
        <f>"Z-PEP1"</f>
        <v>Z-PEP1</v>
      </c>
      <c r="B2725" s="2" t="str">
        <f>"PEP Aufsatz angeschrägt, Ø 52mm, schwarz"</f>
        <v>PEP Aufsatz angeschrägt, Ø 52mm, schwarz</v>
      </c>
      <c r="C2725" s="16">
        <v>20</v>
      </c>
      <c r="D2725" s="11">
        <v>98</v>
      </c>
      <c r="E2725" s="7">
        <f t="shared" si="116"/>
        <v>1</v>
      </c>
      <c r="F2725" s="22" t="str">
        <f>IF(ISERROR(VLOOKUP($A2725,#REF!,3,0)),"x",VLOOKUP($A2725,#REF!,3,FALSE))</f>
        <v>x</v>
      </c>
      <c r="G2725" s="9">
        <f t="shared" si="123"/>
        <v>1</v>
      </c>
      <c r="H2725" s="13">
        <f t="shared" si="124"/>
        <v>20</v>
      </c>
    </row>
    <row r="2726" spans="1:8" x14ac:dyDescent="0.25">
      <c r="A2726" s="2" t="str">
        <f>"Z-PEP2"</f>
        <v>Z-PEP2</v>
      </c>
      <c r="B2726" s="2" t="str">
        <f>"PEP Aufsatz rund, Ø 52mm, schwarz"</f>
        <v>PEP Aufsatz rund, Ø 52mm, schwarz</v>
      </c>
      <c r="C2726" s="16">
        <v>12.5</v>
      </c>
      <c r="D2726" s="11">
        <v>98</v>
      </c>
      <c r="E2726" s="7">
        <f t="shared" si="116"/>
        <v>1</v>
      </c>
      <c r="F2726" s="22" t="str">
        <f>IF(ISERROR(VLOOKUP($A2726,#REF!,3,0)),"x",VLOOKUP($A2726,#REF!,3,FALSE))</f>
        <v>x</v>
      </c>
      <c r="G2726" s="9">
        <f t="shared" si="123"/>
        <v>1</v>
      </c>
      <c r="H2726" s="13">
        <f t="shared" si="124"/>
        <v>12.5</v>
      </c>
    </row>
    <row r="2727" spans="1:8" x14ac:dyDescent="0.25">
      <c r="A2727" s="2" t="str">
        <f>"Z-PEP3"</f>
        <v>Z-PEP3</v>
      </c>
      <c r="B2727" s="2" t="str">
        <f>"PEP Leuchtenring, Ø 52mm, opal"</f>
        <v>PEP Leuchtenring, Ø 52mm, opal</v>
      </c>
      <c r="C2727" s="16">
        <v>7.5</v>
      </c>
      <c r="D2727" s="11">
        <v>98</v>
      </c>
      <c r="E2727" s="7">
        <f t="shared" si="116"/>
        <v>1</v>
      </c>
      <c r="F2727" s="22" t="str">
        <f>IF(ISERROR(VLOOKUP($A2727,#REF!,3,0)),"x",VLOOKUP($A2727,#REF!,3,FALSE))</f>
        <v>x</v>
      </c>
      <c r="G2727" s="9">
        <f t="shared" si="123"/>
        <v>1</v>
      </c>
      <c r="H2727" s="13">
        <f t="shared" si="124"/>
        <v>7.5</v>
      </c>
    </row>
    <row r="2728" spans="1:8" x14ac:dyDescent="0.25">
      <c r="A2728" s="2" t="str">
        <f>"Z-PMET08"</f>
        <v>Z-PMET08</v>
      </c>
      <c r="B2728" s="2" t="str">
        <f>"Säulenelement für Metoo Leuchte, sandbeige"</f>
        <v>Säulenelement für Metoo Leuchte, sandbeige</v>
      </c>
      <c r="C2728" s="16" t="s">
        <v>22</v>
      </c>
      <c r="D2728" s="11">
        <v>263</v>
      </c>
      <c r="E2728" s="7">
        <f t="shared" si="116"/>
        <v>1</v>
      </c>
      <c r="F2728" s="22" t="str">
        <f>IF(ISERROR(VLOOKUP($A2728,#REF!,3,0)),"x",VLOOKUP($A2728,#REF!,3,FALSE))</f>
        <v>x</v>
      </c>
      <c r="G2728" s="9">
        <f t="shared" si="123"/>
        <v>1</v>
      </c>
      <c r="H2728" s="13" t="str">
        <f t="shared" si="124"/>
        <v>auf Anfrage</v>
      </c>
    </row>
    <row r="2729" spans="1:8" x14ac:dyDescent="0.25">
      <c r="A2729" s="2" t="str">
        <f>"Z-PMET1"</f>
        <v>Z-PMET1</v>
      </c>
      <c r="B2729" s="2" t="str">
        <f>"Säulenelement für Metoo Leuchte, weiß"</f>
        <v>Säulenelement für Metoo Leuchte, weiß</v>
      </c>
      <c r="C2729" s="16" t="s">
        <v>22</v>
      </c>
      <c r="D2729" s="11">
        <v>263</v>
      </c>
      <c r="E2729" s="7">
        <f t="shared" si="116"/>
        <v>1</v>
      </c>
      <c r="F2729" s="22" t="str">
        <f>IF(ISERROR(VLOOKUP($A2729,#REF!,3,0)),"x",VLOOKUP($A2729,#REF!,3,FALSE))</f>
        <v>x</v>
      </c>
      <c r="G2729" s="9">
        <f t="shared" si="123"/>
        <v>1</v>
      </c>
      <c r="H2729" s="13" t="str">
        <f t="shared" si="124"/>
        <v>auf Anfrage</v>
      </c>
    </row>
    <row r="2730" spans="1:8" x14ac:dyDescent="0.25">
      <c r="A2730" s="2" t="str">
        <f>"Z-PMET6"</f>
        <v>Z-PMET6</v>
      </c>
      <c r="B2730" s="2" t="str">
        <f>"Säulenelement für Metoo Leuchte, anthrazit"</f>
        <v>Säulenelement für Metoo Leuchte, anthrazit</v>
      </c>
      <c r="C2730" s="16" t="s">
        <v>22</v>
      </c>
      <c r="D2730" s="11">
        <v>263</v>
      </c>
      <c r="E2730" s="7">
        <f t="shared" si="116"/>
        <v>1</v>
      </c>
      <c r="F2730" s="22" t="str">
        <f>IF(ISERROR(VLOOKUP($A2730,#REF!,3,0)),"x",VLOOKUP($A2730,#REF!,3,FALSE))</f>
        <v>x</v>
      </c>
      <c r="G2730" s="9">
        <f t="shared" si="123"/>
        <v>1</v>
      </c>
      <c r="H2730" s="13" t="str">
        <f t="shared" si="124"/>
        <v>auf Anfrage</v>
      </c>
    </row>
    <row r="2731" spans="1:8" x14ac:dyDescent="0.25">
      <c r="A2731" s="2" t="str">
        <f>"Z-PMET7"</f>
        <v>Z-PMET7</v>
      </c>
      <c r="B2731" s="2" t="str">
        <f>"Säulenelement für Metoo Leuchte, alugrau"</f>
        <v>Säulenelement für Metoo Leuchte, alugrau</v>
      </c>
      <c r="C2731" s="16" t="s">
        <v>22</v>
      </c>
      <c r="D2731" s="11">
        <v>263</v>
      </c>
      <c r="E2731" s="7">
        <f t="shared" si="116"/>
        <v>1</v>
      </c>
      <c r="F2731" s="22" t="str">
        <f>IF(ISERROR(VLOOKUP($A2731,#REF!,3,0)),"x",VLOOKUP($A2731,#REF!,3,FALSE))</f>
        <v>x</v>
      </c>
      <c r="G2731" s="9">
        <f t="shared" si="123"/>
        <v>1</v>
      </c>
      <c r="H2731" s="13" t="str">
        <f t="shared" si="124"/>
        <v>auf Anfrage</v>
      </c>
    </row>
    <row r="2732" spans="1:8" x14ac:dyDescent="0.25">
      <c r="A2732" s="2" t="str">
        <f>"Z-RBWL1"</f>
        <v>Z-RBWL1</v>
      </c>
      <c r="B2732" s="2" t="str">
        <f>"Ausgleichsring BWL AD=186 ID=150, weiß"</f>
        <v>Ausgleichsring BWL AD=186 ID=150, weiß</v>
      </c>
      <c r="C2732" s="16">
        <v>12.5</v>
      </c>
      <c r="D2732" s="11">
        <v>109</v>
      </c>
      <c r="E2732" s="7">
        <f t="shared" si="116"/>
        <v>1</v>
      </c>
      <c r="F2732" s="22" t="str">
        <f>IF(ISERROR(VLOOKUP($A2732,#REF!,3,0)),"x",VLOOKUP($A2732,#REF!,3,FALSE))</f>
        <v>x</v>
      </c>
      <c r="G2732" s="9">
        <f t="shared" si="123"/>
        <v>1</v>
      </c>
      <c r="H2732" s="13">
        <f t="shared" si="124"/>
        <v>12.5</v>
      </c>
    </row>
    <row r="2733" spans="1:8" x14ac:dyDescent="0.25">
      <c r="A2733" s="2" t="str">
        <f>"Z-RBWL2"</f>
        <v>Z-RBWL2</v>
      </c>
      <c r="B2733" s="2" t="str">
        <f>"Ausgleichsring BWL AD=186 ID=150 , schwarz"</f>
        <v>Ausgleichsring BWL AD=186 ID=150 , schwarz</v>
      </c>
      <c r="C2733" s="16">
        <v>17.5</v>
      </c>
      <c r="D2733" s="11">
        <v>109</v>
      </c>
      <c r="E2733" s="7">
        <f t="shared" si="116"/>
        <v>1</v>
      </c>
      <c r="F2733" s="22" t="str">
        <f>IF(ISERROR(VLOOKUP($A2733,#REF!,3,0)),"x",VLOOKUP($A2733,#REF!,3,FALSE))</f>
        <v>x</v>
      </c>
      <c r="G2733" s="9">
        <f t="shared" si="123"/>
        <v>1</v>
      </c>
      <c r="H2733" s="13">
        <f t="shared" si="124"/>
        <v>17.5</v>
      </c>
    </row>
    <row r="2734" spans="1:8" x14ac:dyDescent="0.25">
      <c r="A2734" s="2" t="str">
        <f>"Z-REFMOD3"</f>
        <v>Z-REFMOD3</v>
      </c>
      <c r="B2734" s="2" t="str">
        <f>"Reflektorplatte gold für MOD-3xxx"</f>
        <v>Reflektorplatte gold für MOD-3xxx</v>
      </c>
      <c r="C2734" s="16">
        <v>16.5</v>
      </c>
      <c r="D2734" s="11">
        <v>293</v>
      </c>
      <c r="E2734" s="7">
        <f t="shared" si="116"/>
        <v>1</v>
      </c>
      <c r="F2734" s="22" t="str">
        <f>IF(ISERROR(VLOOKUP($A2734,#REF!,3,0)),"x",VLOOKUP($A2734,#REF!,3,FALSE))</f>
        <v>x</v>
      </c>
      <c r="G2734" s="9">
        <f t="shared" si="123"/>
        <v>1</v>
      </c>
      <c r="H2734" s="13">
        <f t="shared" si="124"/>
        <v>16.5</v>
      </c>
    </row>
    <row r="2735" spans="1:8" x14ac:dyDescent="0.25">
      <c r="A2735" s="2" t="str">
        <f>"Z-REFMOD6"</f>
        <v>Z-REFMOD6</v>
      </c>
      <c r="B2735" s="2" t="str">
        <f>"Reflektorplatte gold für MOD-6xxx"</f>
        <v>Reflektorplatte gold für MOD-6xxx</v>
      </c>
      <c r="C2735" s="16">
        <v>19</v>
      </c>
      <c r="D2735" s="11">
        <v>293</v>
      </c>
      <c r="E2735" s="7">
        <f t="shared" si="116"/>
        <v>1</v>
      </c>
      <c r="F2735" s="22" t="str">
        <f>IF(ISERROR(VLOOKUP($A2735,#REF!,3,0)),"x",VLOOKUP($A2735,#REF!,3,FALSE))</f>
        <v>x</v>
      </c>
      <c r="G2735" s="9">
        <f t="shared" si="123"/>
        <v>1</v>
      </c>
      <c r="H2735" s="13">
        <f t="shared" si="124"/>
        <v>19</v>
      </c>
    </row>
    <row r="2736" spans="1:8" x14ac:dyDescent="0.25">
      <c r="A2736" s="2" t="str">
        <f>"Z-RERO195"</f>
        <v>Z-RERO195</v>
      </c>
      <c r="B2736" s="2" t="str">
        <f>"Ausgleichsring ERO-15 AD=195 ID=165 "</f>
        <v xml:space="preserve">Ausgleichsring ERO-15 AD=195 ID=165 </v>
      </c>
      <c r="C2736" s="16">
        <v>12.5</v>
      </c>
      <c r="D2736" s="11">
        <v>107</v>
      </c>
      <c r="E2736" s="7">
        <f t="shared" si="116"/>
        <v>1</v>
      </c>
      <c r="F2736" s="22" t="str">
        <f>IF(ISERROR(VLOOKUP($A2736,#REF!,3,0)),"x",VLOOKUP($A2736,#REF!,3,FALSE))</f>
        <v>x</v>
      </c>
      <c r="G2736" s="9">
        <f t="shared" si="123"/>
        <v>1</v>
      </c>
      <c r="H2736" s="13">
        <f t="shared" si="124"/>
        <v>12.5</v>
      </c>
    </row>
    <row r="2737" spans="1:8" x14ac:dyDescent="0.25">
      <c r="A2737" s="2" t="str">
        <f>"Z-RERO228"</f>
        <v>Z-RERO228</v>
      </c>
      <c r="B2737" s="2" t="str">
        <f>"Ausgleichsring ERO-15 AD=240 "</f>
        <v xml:space="preserve">Ausgleichsring ERO-15 AD=240 </v>
      </c>
      <c r="C2737" s="16">
        <v>15</v>
      </c>
      <c r="D2737" s="11">
        <v>107</v>
      </c>
      <c r="E2737" s="7">
        <f t="shared" si="116"/>
        <v>1</v>
      </c>
      <c r="F2737" s="22" t="str">
        <f>IF(ISERROR(VLOOKUP($A2737,#REF!,3,0)),"x",VLOOKUP($A2737,#REF!,3,FALSE))</f>
        <v>x</v>
      </c>
      <c r="G2737" s="9">
        <f t="shared" si="123"/>
        <v>1</v>
      </c>
      <c r="H2737" s="13">
        <f t="shared" si="124"/>
        <v>15</v>
      </c>
    </row>
    <row r="2738" spans="1:8" x14ac:dyDescent="0.25">
      <c r="A2738" s="2" t="str">
        <f>"Z-RPEP12"</f>
        <v>Z-RPEP12</v>
      </c>
      <c r="B2738" s="2" t="str">
        <f>"PEP 12° Reflektor/ Linse, Ø14,8mm"</f>
        <v>PEP 12° Reflektor/ Linse, Ø14,8mm</v>
      </c>
      <c r="C2738" s="16">
        <v>2.5</v>
      </c>
      <c r="D2738" s="11">
        <v>102</v>
      </c>
      <c r="E2738" s="7">
        <f t="shared" si="116"/>
        <v>1</v>
      </c>
      <c r="F2738" s="22" t="str">
        <f>IF(ISERROR(VLOOKUP($A2738,#REF!,3,0)),"x",VLOOKUP($A2738,#REF!,3,FALSE))</f>
        <v>x</v>
      </c>
      <c r="G2738" s="9">
        <f t="shared" si="123"/>
        <v>1</v>
      </c>
      <c r="H2738" s="13">
        <f t="shared" si="124"/>
        <v>2.5</v>
      </c>
    </row>
    <row r="2739" spans="1:8" x14ac:dyDescent="0.25">
      <c r="A2739" s="2" t="str">
        <f>"Z-RPEP15"</f>
        <v>Z-RPEP15</v>
      </c>
      <c r="B2739" s="2" t="str">
        <f>"PEP 15° Reflektor/ Linse, Ø44mm"</f>
        <v>PEP 15° Reflektor/ Linse, Ø44mm</v>
      </c>
      <c r="C2739" s="16">
        <v>5</v>
      </c>
      <c r="D2739" s="11">
        <v>98</v>
      </c>
      <c r="E2739" s="7">
        <f t="shared" si="116"/>
        <v>1</v>
      </c>
      <c r="F2739" s="22" t="str">
        <f>IF(ISERROR(VLOOKUP($A2739,#REF!,3,0)),"x",VLOOKUP($A2739,#REF!,3,FALSE))</f>
        <v>x</v>
      </c>
      <c r="G2739" s="9">
        <f t="shared" si="123"/>
        <v>1</v>
      </c>
      <c r="H2739" s="13">
        <f t="shared" si="124"/>
        <v>5</v>
      </c>
    </row>
    <row r="2740" spans="1:8" x14ac:dyDescent="0.25">
      <c r="A2740" s="2" t="str">
        <f>"Z-RPEP30"</f>
        <v>Z-RPEP30</v>
      </c>
      <c r="B2740" s="2" t="str">
        <f>"PEP 30° Reflektor/ Linse, Ø44mm"</f>
        <v>PEP 30° Reflektor/ Linse, Ø44mm</v>
      </c>
      <c r="C2740" s="16">
        <v>5</v>
      </c>
      <c r="D2740" s="11">
        <v>98</v>
      </c>
      <c r="E2740" s="7">
        <f t="shared" si="116"/>
        <v>1</v>
      </c>
      <c r="F2740" s="22" t="str">
        <f>IF(ISERROR(VLOOKUP($A2740,#REF!,3,0)),"x",VLOOKUP($A2740,#REF!,3,FALSE))</f>
        <v>x</v>
      </c>
      <c r="G2740" s="9">
        <f t="shared" si="123"/>
        <v>1</v>
      </c>
      <c r="H2740" s="13">
        <f t="shared" si="124"/>
        <v>5</v>
      </c>
    </row>
    <row r="2741" spans="1:8" x14ac:dyDescent="0.25">
      <c r="A2741" s="2" t="str">
        <f>"Z-RPEP50"</f>
        <v>Z-RPEP50</v>
      </c>
      <c r="B2741" s="2" t="str">
        <f>"PEP 50° Reflektor/ Linse , Ø44mm"</f>
        <v>PEP 50° Reflektor/ Linse , Ø44mm</v>
      </c>
      <c r="C2741" s="16">
        <v>5</v>
      </c>
      <c r="D2741" s="11">
        <v>98</v>
      </c>
      <c r="E2741" s="7">
        <f t="shared" si="116"/>
        <v>1</v>
      </c>
      <c r="F2741" s="22" t="str">
        <f>IF(ISERROR(VLOOKUP($A2741,#REF!,3,0)),"x",VLOOKUP($A2741,#REF!,3,FALSE))</f>
        <v>x</v>
      </c>
      <c r="G2741" s="9">
        <f t="shared" si="123"/>
        <v>1</v>
      </c>
      <c r="H2741" s="13">
        <f t="shared" si="124"/>
        <v>5</v>
      </c>
    </row>
    <row r="2742" spans="1:8" x14ac:dyDescent="0.25">
      <c r="A2742" s="2" t="str">
        <f>"Z-RPEPS20"</f>
        <v>Z-RPEPS20</v>
      </c>
      <c r="B2742" s="2" t="str">
        <f>"PEPS 20° Reflektor/ Linse, Ø18mm"</f>
        <v>PEPS 20° Reflektor/ Linse, Ø18mm</v>
      </c>
      <c r="C2742" s="16">
        <v>5</v>
      </c>
      <c r="D2742" s="11">
        <v>102</v>
      </c>
      <c r="E2742" s="7">
        <f t="shared" si="116"/>
        <v>1</v>
      </c>
      <c r="F2742" s="22" t="str">
        <f>IF(ISERROR(VLOOKUP($A2742,#REF!,3,0)),"x",VLOOKUP($A2742,#REF!,3,FALSE))</f>
        <v>x</v>
      </c>
      <c r="G2742" s="9">
        <f t="shared" si="123"/>
        <v>1</v>
      </c>
      <c r="H2742" s="13">
        <f t="shared" si="124"/>
        <v>5</v>
      </c>
    </row>
    <row r="2743" spans="1:8" x14ac:dyDescent="0.25">
      <c r="A2743" s="2" t="str">
        <f>"Z-RPEPS50"</f>
        <v>Z-RPEPS50</v>
      </c>
      <c r="B2743" s="2" t="str">
        <f>"PEPS 50° Reflektor/ Linse, Ø18mm"</f>
        <v>PEPS 50° Reflektor/ Linse, Ø18mm</v>
      </c>
      <c r="C2743" s="16">
        <v>5</v>
      </c>
      <c r="D2743" s="11">
        <v>102</v>
      </c>
      <c r="E2743" s="7">
        <f t="shared" si="116"/>
        <v>1</v>
      </c>
      <c r="F2743" s="22" t="str">
        <f>IF(ISERROR(VLOOKUP($A2743,#REF!,3,0)),"x",VLOOKUP($A2743,#REF!,3,FALSE))</f>
        <v>x</v>
      </c>
      <c r="G2743" s="9">
        <f t="shared" si="123"/>
        <v>1</v>
      </c>
      <c r="H2743" s="13">
        <f t="shared" si="124"/>
        <v>5</v>
      </c>
    </row>
    <row r="2744" spans="1:8" x14ac:dyDescent="0.25">
      <c r="A2744" s="2" t="str">
        <f>"Z-S2"</f>
        <v>Z-S2</v>
      </c>
      <c r="B2744" s="2" t="str">
        <f>"5091NE Schnappbügel, für Small, Midi, Maxi und Supermaxi, schwarz"</f>
        <v>5091NE Schnappbügel, für Small, Midi, Maxi und Supermaxi, schwarz</v>
      </c>
      <c r="C2744" s="16">
        <v>34</v>
      </c>
      <c r="D2744" s="11">
        <v>286</v>
      </c>
      <c r="E2744" s="7">
        <f t="shared" si="116"/>
        <v>1</v>
      </c>
      <c r="F2744" s="22" t="str">
        <f>IF(ISERROR(VLOOKUP($A2744,#REF!,3,0)),"x",VLOOKUP($A2744,#REF!,3,FALSE))</f>
        <v>x</v>
      </c>
      <c r="G2744" s="9">
        <f t="shared" si="123"/>
        <v>1</v>
      </c>
      <c r="H2744" s="13">
        <f t="shared" si="124"/>
        <v>34</v>
      </c>
    </row>
    <row r="2745" spans="1:8" x14ac:dyDescent="0.25">
      <c r="A2745" s="2" t="str">
        <f>"Z-S7"</f>
        <v>Z-S7</v>
      </c>
      <c r="B2745" s="2" t="str">
        <f>"5091AG Schnappbügel, für Small, Midi, Maxi und Supermaxi, aluminiumgrau "</f>
        <v xml:space="preserve">5091AG Schnappbügel, für Small, Midi, Maxi und Supermaxi, aluminiumgrau </v>
      </c>
      <c r="C2745" s="16">
        <v>34</v>
      </c>
      <c r="D2745" s="11">
        <v>286</v>
      </c>
      <c r="E2745" s="7">
        <f t="shared" si="116"/>
        <v>1</v>
      </c>
      <c r="F2745" s="22" t="str">
        <f>IF(ISERROR(VLOOKUP($A2745,#REF!,3,0)),"x",VLOOKUP($A2745,#REF!,3,FALSE))</f>
        <v>x</v>
      </c>
      <c r="G2745" s="9">
        <f t="shared" si="123"/>
        <v>1</v>
      </c>
      <c r="H2745" s="13">
        <f t="shared" si="124"/>
        <v>34</v>
      </c>
    </row>
    <row r="2746" spans="1:8" x14ac:dyDescent="0.25">
      <c r="A2746" s="2" t="str">
        <f>"Z-SK3WB"</f>
        <v>Z-SK3WB</v>
      </c>
      <c r="B2746" s="2" t="str">
        <f>"1093 Blattschablone, passend für Wandaußenleuchte K3 WRITER"</f>
        <v>1093 Blattschablone, passend für Wandaußenleuchte K3 WRITER</v>
      </c>
      <c r="C2746" s="16">
        <v>21</v>
      </c>
      <c r="D2746" s="11">
        <v>282</v>
      </c>
      <c r="E2746" s="7">
        <f t="shared" si="116"/>
        <v>1</v>
      </c>
      <c r="F2746" s="22" t="str">
        <f>IF(ISERROR(VLOOKUP($A2746,#REF!,3,0)),"x",VLOOKUP($A2746,#REF!,3,FALSE))</f>
        <v>x</v>
      </c>
      <c r="G2746" s="9">
        <f t="shared" si="123"/>
        <v>1</v>
      </c>
      <c r="H2746" s="13">
        <f t="shared" si="124"/>
        <v>21</v>
      </c>
    </row>
    <row r="2747" spans="1:8" x14ac:dyDescent="0.25">
      <c r="A2747" s="2" t="str">
        <f>"Z-SK3WF"</f>
        <v>Z-SK3WF</v>
      </c>
      <c r="B2747" s="2" t="str">
        <f>"1095 Formscheibe aus Edelstahl, passend für Wandaußenleuchte K3 WRITER 30°"</f>
        <v>1095 Formscheibe aus Edelstahl, passend für Wandaußenleuchte K3 WRITER 30°</v>
      </c>
      <c r="C2747" s="16">
        <v>21</v>
      </c>
      <c r="D2747" s="11">
        <v>282</v>
      </c>
      <c r="E2747" s="7">
        <f t="shared" si="116"/>
        <v>1</v>
      </c>
      <c r="F2747" s="22" t="str">
        <f>IF(ISERROR(VLOOKUP($A2747,#REF!,3,0)),"x",VLOOKUP($A2747,#REF!,3,FALSE))</f>
        <v>x</v>
      </c>
      <c r="G2747" s="9">
        <f t="shared" si="123"/>
        <v>1</v>
      </c>
      <c r="H2747" s="13">
        <f t="shared" si="124"/>
        <v>21</v>
      </c>
    </row>
    <row r="2748" spans="1:8" x14ac:dyDescent="0.25">
      <c r="A2748" s="2" t="str">
        <f>"Z-SSO"</f>
        <v>Z-SSO</v>
      </c>
      <c r="B2748" s="2" t="str">
        <f>"Abdeckung 180° für MATITA und SOFIA"</f>
        <v>Abdeckung 180° für MATITA und SOFIA</v>
      </c>
      <c r="C2748" s="16">
        <v>16.5</v>
      </c>
      <c r="D2748" s="11">
        <v>339</v>
      </c>
      <c r="E2748" s="7">
        <f t="shared" si="116"/>
        <v>1</v>
      </c>
      <c r="F2748" s="22" t="str">
        <f>IF(ISERROR(VLOOKUP($A2748,#REF!,3,0)),"x",VLOOKUP($A2748,#REF!,3,FALSE))</f>
        <v>x</v>
      </c>
      <c r="G2748" s="9">
        <f t="shared" si="123"/>
        <v>1</v>
      </c>
      <c r="H2748" s="13">
        <f t="shared" si="124"/>
        <v>16.5</v>
      </c>
    </row>
    <row r="2749" spans="1:8" x14ac:dyDescent="0.25">
      <c r="A2749" s="2" t="str">
        <f>"Z-STAMP103"</f>
        <v>Z-STAMP103</v>
      </c>
      <c r="B2749" s="2" t="str">
        <f>"5351 STAMP Abstandshalter, 103x103 mm"</f>
        <v>5351 STAMP Abstandshalter, 103x103 mm</v>
      </c>
      <c r="C2749" s="16">
        <v>30</v>
      </c>
      <c r="D2749" s="11">
        <v>261</v>
      </c>
      <c r="E2749" s="7">
        <f t="shared" si="116"/>
        <v>1</v>
      </c>
      <c r="F2749" s="22" t="str">
        <f>IF(ISERROR(VLOOKUP($A2749,#REF!,3,0)),"x",VLOOKUP($A2749,#REF!,3,FALSE))</f>
        <v>x</v>
      </c>
      <c r="G2749" s="9">
        <f t="shared" si="123"/>
        <v>1</v>
      </c>
      <c r="H2749" s="13">
        <f t="shared" si="124"/>
        <v>30</v>
      </c>
    </row>
    <row r="2750" spans="1:8" x14ac:dyDescent="0.25">
      <c r="A2750" s="2" t="str">
        <f>"Z-STAMP168"</f>
        <v>Z-STAMP168</v>
      </c>
      <c r="B2750" s="2" t="str">
        <f>"5352 STAMP Abstandshalter 168x168 mm"</f>
        <v>5352 STAMP Abstandshalter 168x168 mm</v>
      </c>
      <c r="C2750" s="16">
        <v>35</v>
      </c>
      <c r="D2750" s="11">
        <v>261</v>
      </c>
      <c r="E2750" s="7">
        <f t="shared" ref="E2750:E2771" si="125">G2750</f>
        <v>1</v>
      </c>
      <c r="F2750" s="22" t="str">
        <f>IF(ISERROR(VLOOKUP($A2750,#REF!,3,0)),"x",VLOOKUP($A2750,#REF!,3,FALSE))</f>
        <v>x</v>
      </c>
      <c r="G2750" s="9">
        <f t="shared" si="123"/>
        <v>1</v>
      </c>
      <c r="H2750" s="13">
        <f t="shared" si="124"/>
        <v>35</v>
      </c>
    </row>
    <row r="2751" spans="1:8" x14ac:dyDescent="0.25">
      <c r="A2751" s="2" t="str">
        <f>"Z-TR6"</f>
        <v>Z-TR6</v>
      </c>
      <c r="B2751" s="2" t="str">
        <f>"3322GR Verstellbarer Arm, für Triangolo groß, Alu, graphitgrau"</f>
        <v>3322GR Verstellbarer Arm, für Triangolo groß, Alu, graphitgrau</v>
      </c>
      <c r="C2751" s="16">
        <v>370</v>
      </c>
      <c r="D2751" s="11">
        <v>333</v>
      </c>
      <c r="E2751" s="7">
        <f t="shared" si="125"/>
        <v>1</v>
      </c>
      <c r="F2751" s="22" t="str">
        <f>IF(ISERROR(VLOOKUP($A2751,#REF!,3,0)),"x",VLOOKUP($A2751,#REF!,3,FALSE))</f>
        <v>x</v>
      </c>
      <c r="G2751" s="9">
        <f t="shared" si="123"/>
        <v>1</v>
      </c>
      <c r="H2751" s="13">
        <f t="shared" si="124"/>
        <v>370</v>
      </c>
    </row>
    <row r="2752" spans="1:8" x14ac:dyDescent="0.25">
      <c r="A2752" s="2" t="str">
        <f>"Z-TRLFLEXYRGB"</f>
        <v>Z-TRLFLEXYRGB</v>
      </c>
      <c r="B2752" s="2" t="str">
        <f>"Verstärker Controller für RGB RGBW LED PA4 4 Kanal Hochleistungsverstärker"</f>
        <v>Verstärker Controller für RGB RGBW LED PA4 4 Kanal Hochleistungsverstärker</v>
      </c>
      <c r="C2752" s="16">
        <v>45</v>
      </c>
      <c r="D2752" s="11">
        <v>231</v>
      </c>
      <c r="E2752" s="7">
        <f t="shared" si="125"/>
        <v>1</v>
      </c>
      <c r="F2752" s="22" t="str">
        <f>IF(ISERROR(VLOOKUP($A2752,#REF!,3,0)),"x",VLOOKUP($A2752,#REF!,3,FALSE))</f>
        <v>x</v>
      </c>
      <c r="G2752" s="9">
        <f t="shared" ref="G2752:G2771" si="126">IF(C2752&lt;F2752,1,IF(C2752&gt;F2752,-1,0))</f>
        <v>1</v>
      </c>
      <c r="H2752" s="13">
        <f t="shared" si="124"/>
        <v>45</v>
      </c>
    </row>
    <row r="2753" spans="1:8" x14ac:dyDescent="0.25">
      <c r="A2753" s="2" t="str">
        <f>"Z-VERIP-DL2"</f>
        <v>Z-VERIP-DL2</v>
      </c>
      <c r="B2753" s="2" t="str">
        <f>"1941 Längsverbinder, für Kabel 3x2,5 mm2, IP68"</f>
        <v>1941 Längsverbinder, für Kabel 3x2,5 mm2, IP68</v>
      </c>
      <c r="C2753" s="16">
        <v>22.5</v>
      </c>
      <c r="D2753" s="11">
        <v>311</v>
      </c>
      <c r="E2753" s="7">
        <f t="shared" si="125"/>
        <v>1</v>
      </c>
      <c r="F2753" s="22" t="str">
        <f>IF(ISERROR(VLOOKUP($A2753,#REF!,3,0)),"x",VLOOKUP($A2753,#REF!,3,FALSE))</f>
        <v>x</v>
      </c>
      <c r="G2753" s="9">
        <f t="shared" si="126"/>
        <v>1</v>
      </c>
      <c r="H2753" s="13">
        <f t="shared" si="124"/>
        <v>22.5</v>
      </c>
    </row>
    <row r="2754" spans="1:8" x14ac:dyDescent="0.25">
      <c r="A2754" s="2" t="str">
        <f>"Z-VERIP-DL3"</f>
        <v>Z-VERIP-DL3</v>
      </c>
      <c r="B2754" s="2" t="str">
        <f>"1942 Y-Verbinder, für Kabel 3x2,5 mm2, IP68"</f>
        <v>1942 Y-Verbinder, für Kabel 3x2,5 mm2, IP68</v>
      </c>
      <c r="C2754" s="16">
        <v>37.5</v>
      </c>
      <c r="D2754" s="11">
        <v>311</v>
      </c>
      <c r="E2754" s="7">
        <f t="shared" si="125"/>
        <v>1</v>
      </c>
      <c r="F2754" s="22" t="str">
        <f>IF(ISERROR(VLOOKUP($A2754,#REF!,3,0)),"x",VLOOKUP($A2754,#REF!,3,FALSE))</f>
        <v>x</v>
      </c>
      <c r="G2754" s="9">
        <f t="shared" si="126"/>
        <v>1</v>
      </c>
      <c r="H2754" s="13">
        <f t="shared" ref="H2754:H2771" si="127">IF(F2754="x",C2754,F2754)</f>
        <v>37.5</v>
      </c>
    </row>
    <row r="2755" spans="1:8" x14ac:dyDescent="0.25">
      <c r="A2755" s="2" t="str">
        <f>"Z-VERIP-DLH2O"</f>
        <v>Z-VERIP-DLH2O</v>
      </c>
      <c r="B2755" s="2" t="str">
        <f>"Doppelter Längsverbinder für Außenleuchten, IP68, H2O STOP"</f>
        <v>Doppelter Längsverbinder für Außenleuchten, IP68, H2O STOP</v>
      </c>
      <c r="C2755" s="16">
        <v>51</v>
      </c>
      <c r="D2755" s="11">
        <v>211</v>
      </c>
      <c r="E2755" s="7">
        <f t="shared" si="125"/>
        <v>1</v>
      </c>
      <c r="F2755" s="22" t="str">
        <f>IF(ISERROR(VLOOKUP($A2755,#REF!,3,0)),"x",VLOOKUP($A2755,#REF!,3,FALSE))</f>
        <v>x</v>
      </c>
      <c r="G2755" s="9">
        <f t="shared" si="126"/>
        <v>1</v>
      </c>
      <c r="H2755" s="13">
        <f t="shared" si="127"/>
        <v>51</v>
      </c>
    </row>
    <row r="2756" spans="1:8" x14ac:dyDescent="0.25">
      <c r="A2756" s="2" t="str">
        <f>"Z-VERIP-L2"</f>
        <v>Z-VERIP-L2</v>
      </c>
      <c r="B2756" s="2" t="str">
        <f>"Längsverbinder für Außenleuchten, IP68"</f>
        <v>Längsverbinder für Außenleuchten, IP68</v>
      </c>
      <c r="C2756" s="16">
        <v>58.75</v>
      </c>
      <c r="D2756" s="11">
        <v>211</v>
      </c>
      <c r="E2756" s="7">
        <f t="shared" si="125"/>
        <v>1</v>
      </c>
      <c r="F2756" s="22" t="str">
        <f>IF(ISERROR(VLOOKUP($A2756,#REF!,3,0)),"x",VLOOKUP($A2756,#REF!,3,FALSE))</f>
        <v>x</v>
      </c>
      <c r="G2756" s="9">
        <f t="shared" si="126"/>
        <v>1</v>
      </c>
      <c r="H2756" s="13">
        <f t="shared" si="127"/>
        <v>58.75</v>
      </c>
    </row>
    <row r="2757" spans="1:8" x14ac:dyDescent="0.25">
      <c r="A2757" s="2" t="str">
        <f>"Z-VP60"</f>
        <v>Z-VP60</v>
      </c>
      <c r="B2757" s="2" t="str">
        <f>"5506 Verbindungsring für Ø 60 Poller IANUS, I-MAGO, I-LUX, CANTHARELLUS "</f>
        <v xml:space="preserve">5506 Verbindungsring für Ø 60 Poller IANUS, I-MAGO, I-LUX, CANTHARELLUS </v>
      </c>
      <c r="C2757" s="16">
        <v>26</v>
      </c>
      <c r="D2757" s="11">
        <v>335</v>
      </c>
      <c r="E2757" s="7">
        <f t="shared" si="125"/>
        <v>1</v>
      </c>
      <c r="F2757" s="22" t="str">
        <f>IF(ISERROR(VLOOKUP($A2757,#REF!,3,0)),"x",VLOOKUP($A2757,#REF!,3,FALSE))</f>
        <v>x</v>
      </c>
      <c r="G2757" s="9">
        <f t="shared" si="126"/>
        <v>1</v>
      </c>
      <c r="H2757" s="13">
        <f t="shared" si="127"/>
        <v>26</v>
      </c>
    </row>
    <row r="2758" spans="1:8" x14ac:dyDescent="0.25">
      <c r="A2758" s="2" t="str">
        <f>"Z-VSM"</f>
        <v>Z-VSM</v>
      </c>
      <c r="B2758" s="2" t="str">
        <f>"5693NE Paar Enddeckel für Kabelkanal SuperMaxi, schwarz"</f>
        <v>5693NE Paar Enddeckel für Kabelkanal SuperMaxi, schwarz</v>
      </c>
      <c r="C2758" s="16">
        <v>8</v>
      </c>
      <c r="D2758" s="11">
        <v>286</v>
      </c>
      <c r="E2758" s="7">
        <f t="shared" si="125"/>
        <v>1</v>
      </c>
      <c r="F2758" s="22" t="str">
        <f>IF(ISERROR(VLOOKUP($A2758,#REF!,3,0)),"x",VLOOKUP($A2758,#REF!,3,FALSE))</f>
        <v>x</v>
      </c>
      <c r="G2758" s="9">
        <f t="shared" si="126"/>
        <v>1</v>
      </c>
      <c r="H2758" s="13">
        <f t="shared" si="127"/>
        <v>8</v>
      </c>
    </row>
    <row r="2759" spans="1:8" x14ac:dyDescent="0.25">
      <c r="A2759" s="2" t="str">
        <f>"Z-VTBOXPEP01"</f>
        <v>Z-VTBOXPEP01</v>
      </c>
      <c r="B2759" s="2" t="str">
        <f>"PEP VT Box, für DC48V Netzteil xx, weiß"</f>
        <v>PEP VT Box, für DC48V Netzteil xx, weiß</v>
      </c>
      <c r="C2759" s="16">
        <v>97.5</v>
      </c>
      <c r="D2759" s="11">
        <v>97</v>
      </c>
      <c r="E2759" s="7">
        <f t="shared" si="125"/>
        <v>1</v>
      </c>
      <c r="F2759" s="22" t="str">
        <f>IF(ISERROR(VLOOKUP($A2759,#REF!,3,0)),"x",VLOOKUP($A2759,#REF!,3,FALSE))</f>
        <v>x</v>
      </c>
      <c r="G2759" s="9">
        <f t="shared" si="126"/>
        <v>1</v>
      </c>
      <c r="H2759" s="13">
        <f t="shared" si="127"/>
        <v>97.5</v>
      </c>
    </row>
    <row r="2760" spans="1:8" x14ac:dyDescent="0.25">
      <c r="A2760" s="2" t="str">
        <f>"Z-VTBOXPEP02"</f>
        <v>Z-VTBOXPEP02</v>
      </c>
      <c r="B2760" s="2" t="str">
        <f>"PEP VT Box, für DC48V Netzteil xx, schwarz"</f>
        <v>PEP VT Box, für DC48V Netzteil xx, schwarz</v>
      </c>
      <c r="C2760" s="16">
        <v>97.5</v>
      </c>
      <c r="D2760" s="11">
        <v>97</v>
      </c>
      <c r="E2760" s="7">
        <f t="shared" si="125"/>
        <v>1</v>
      </c>
      <c r="F2760" s="22" t="str">
        <f>IF(ISERROR(VLOOKUP($A2760,#REF!,3,0)),"x",VLOOKUP($A2760,#REF!,3,FALSE))</f>
        <v>x</v>
      </c>
      <c r="G2760" s="9">
        <f t="shared" si="126"/>
        <v>1</v>
      </c>
      <c r="H2760" s="13">
        <f t="shared" si="127"/>
        <v>97.5</v>
      </c>
    </row>
    <row r="2761" spans="1:8" x14ac:dyDescent="0.25">
      <c r="A2761" s="2" t="str">
        <f>"Z-VTQUAN25W24VIP"</f>
        <v>Z-VTQUAN25W24VIP</v>
      </c>
      <c r="B2761" s="2" t="str">
        <f>"1924 Netzteil 25W 24V IP67 "</f>
        <v xml:space="preserve">1924 Netzteil 25W 24V IP67 </v>
      </c>
      <c r="C2761" s="16">
        <v>85</v>
      </c>
      <c r="D2761" s="11">
        <v>374</v>
      </c>
      <c r="E2761" s="7">
        <f t="shared" si="125"/>
        <v>1</v>
      </c>
      <c r="F2761" s="22" t="str">
        <f>IF(ISERROR(VLOOKUP($A2761,#REF!,3,0)),"x",VLOOKUP($A2761,#REF!,3,FALSE))</f>
        <v>x</v>
      </c>
      <c r="G2761" s="9">
        <f t="shared" si="126"/>
        <v>1</v>
      </c>
      <c r="H2761" s="13">
        <f t="shared" si="127"/>
        <v>85</v>
      </c>
    </row>
    <row r="2762" spans="1:8" x14ac:dyDescent="0.25">
      <c r="A2762" s="2" t="str">
        <f>"ZE-10NW08"</f>
        <v>ZE-10NW08</v>
      </c>
      <c r="B2762" s="2" t="str">
        <f>"ZEUS Pollerleuchte, 10W, 4000K, H315mm, CRI&gt;80, sand"</f>
        <v>ZEUS Pollerleuchte, 10W, 4000K, H315mm, CRI&gt;80, sand</v>
      </c>
      <c r="C2762" s="16">
        <v>303.5</v>
      </c>
      <c r="D2762" s="11">
        <v>329</v>
      </c>
      <c r="E2762" s="7">
        <f t="shared" si="125"/>
        <v>1</v>
      </c>
      <c r="F2762" s="22" t="str">
        <f>IF(ISERROR(VLOOKUP($A2762,#REF!,3,0)),"x",VLOOKUP($A2762,#REF!,3,FALSE))</f>
        <v>x</v>
      </c>
      <c r="G2762" s="9">
        <f t="shared" si="126"/>
        <v>1</v>
      </c>
      <c r="H2762" s="13">
        <f t="shared" si="127"/>
        <v>303.5</v>
      </c>
    </row>
    <row r="2763" spans="1:8" x14ac:dyDescent="0.25">
      <c r="A2763" s="2" t="str">
        <f>"ZE-10NW1"</f>
        <v>ZE-10NW1</v>
      </c>
      <c r="B2763" s="2" t="str">
        <f>"ZEUS Pollerleuchte, 10W, 4000K, H315mm, CRI&gt;80, weiß "</f>
        <v xml:space="preserve">ZEUS Pollerleuchte, 10W, 4000K, H315mm, CRI&gt;80, weiß </v>
      </c>
      <c r="C2763" s="16">
        <v>303.5</v>
      </c>
      <c r="D2763" s="11">
        <v>329</v>
      </c>
      <c r="E2763" s="7">
        <f t="shared" si="125"/>
        <v>1</v>
      </c>
      <c r="F2763" s="22" t="str">
        <f>IF(ISERROR(VLOOKUP($A2763,#REF!,3,0)),"x",VLOOKUP($A2763,#REF!,3,FALSE))</f>
        <v>x</v>
      </c>
      <c r="G2763" s="9">
        <f t="shared" si="126"/>
        <v>1</v>
      </c>
      <c r="H2763" s="13">
        <f t="shared" si="127"/>
        <v>303.5</v>
      </c>
    </row>
    <row r="2764" spans="1:8" x14ac:dyDescent="0.25">
      <c r="A2764" s="2" t="str">
        <f>"ZE-10NW6"</f>
        <v>ZE-10NW6</v>
      </c>
      <c r="B2764" s="2" t="str">
        <f>"ZEUS Pollerleuchte, 10W, 4000K, H315mm, CRI&gt;80, anthrazit"</f>
        <v>ZEUS Pollerleuchte, 10W, 4000K, H315mm, CRI&gt;80, anthrazit</v>
      </c>
      <c r="C2764" s="16">
        <v>303.5</v>
      </c>
      <c r="D2764" s="11">
        <v>329</v>
      </c>
      <c r="E2764" s="7">
        <f t="shared" si="125"/>
        <v>1</v>
      </c>
      <c r="F2764" s="22" t="str">
        <f>IF(ISERROR(VLOOKUP($A2764,#REF!,3,0)),"x",VLOOKUP($A2764,#REF!,3,FALSE))</f>
        <v>x</v>
      </c>
      <c r="G2764" s="9">
        <f t="shared" si="126"/>
        <v>1</v>
      </c>
      <c r="H2764" s="13">
        <f t="shared" si="127"/>
        <v>303.5</v>
      </c>
    </row>
    <row r="2765" spans="1:8" x14ac:dyDescent="0.25">
      <c r="A2765" s="2" t="str">
        <f>"ZE-10NW7"</f>
        <v>ZE-10NW7</v>
      </c>
      <c r="B2765" s="2" t="str">
        <f>"ZEUS Pollerleuchte, 10W, 4000K, H315mm, CRI&gt;80, alugrau"</f>
        <v>ZEUS Pollerleuchte, 10W, 4000K, H315mm, CRI&gt;80, alugrau</v>
      </c>
      <c r="C2765" s="16">
        <v>303.5</v>
      </c>
      <c r="D2765" s="11">
        <v>329</v>
      </c>
      <c r="E2765" s="7">
        <f t="shared" si="125"/>
        <v>1</v>
      </c>
      <c r="F2765" s="22" t="str">
        <f>IF(ISERROR(VLOOKUP($A2765,#REF!,3,0)),"x",VLOOKUP($A2765,#REF!,3,FALSE))</f>
        <v>x</v>
      </c>
      <c r="G2765" s="9">
        <f t="shared" si="126"/>
        <v>1</v>
      </c>
      <c r="H2765" s="13">
        <f t="shared" si="127"/>
        <v>303.5</v>
      </c>
    </row>
    <row r="2766" spans="1:8" x14ac:dyDescent="0.25">
      <c r="A2766" s="2" t="str">
        <f>"ZE-10WW08"</f>
        <v>ZE-10WW08</v>
      </c>
      <c r="B2766" s="2" t="str">
        <f>"ZEUS Pollerleuchte, 10W, 3000K, H315mm, CRI&gt;80, sand"</f>
        <v>ZEUS Pollerleuchte, 10W, 3000K, H315mm, CRI&gt;80, sand</v>
      </c>
      <c r="C2766" s="16">
        <v>303.5</v>
      </c>
      <c r="D2766" s="11">
        <v>329</v>
      </c>
      <c r="E2766" s="7">
        <f t="shared" si="125"/>
        <v>1</v>
      </c>
      <c r="F2766" s="22" t="str">
        <f>IF(ISERROR(VLOOKUP($A2766,#REF!,3,0)),"x",VLOOKUP($A2766,#REF!,3,FALSE))</f>
        <v>x</v>
      </c>
      <c r="G2766" s="9">
        <f t="shared" si="126"/>
        <v>1</v>
      </c>
      <c r="H2766" s="13">
        <f t="shared" si="127"/>
        <v>303.5</v>
      </c>
    </row>
    <row r="2767" spans="1:8" x14ac:dyDescent="0.25">
      <c r="A2767" s="2" t="str">
        <f>"ZE-10WW1"</f>
        <v>ZE-10WW1</v>
      </c>
      <c r="B2767" s="2" t="str">
        <f>"ZEUS Pollerleuchte, 10W, 3000K, H315mm, CRI&gt;80, weiß"</f>
        <v>ZEUS Pollerleuchte, 10W, 3000K, H315mm, CRI&gt;80, weiß</v>
      </c>
      <c r="C2767" s="16">
        <v>303.5</v>
      </c>
      <c r="D2767" s="11">
        <v>329</v>
      </c>
      <c r="E2767" s="7">
        <f t="shared" si="125"/>
        <v>1</v>
      </c>
      <c r="F2767" s="22" t="str">
        <f>IF(ISERROR(VLOOKUP($A2767,#REF!,3,0)),"x",VLOOKUP($A2767,#REF!,3,FALSE))</f>
        <v>x</v>
      </c>
      <c r="G2767" s="9">
        <f t="shared" si="126"/>
        <v>1</v>
      </c>
      <c r="H2767" s="13">
        <f t="shared" si="127"/>
        <v>303.5</v>
      </c>
    </row>
    <row r="2768" spans="1:8" x14ac:dyDescent="0.25">
      <c r="A2768" s="2" t="str">
        <f>"ZE-10WW6"</f>
        <v>ZE-10WW6</v>
      </c>
      <c r="B2768" s="2" t="str">
        <f>"ZEUS Pollerleuchte, 10W, 3000K, H315mm, CRI&gt;80, anthrazit"</f>
        <v>ZEUS Pollerleuchte, 10W, 3000K, H315mm, CRI&gt;80, anthrazit</v>
      </c>
      <c r="C2768" s="16">
        <v>303.5</v>
      </c>
      <c r="D2768" s="11">
        <v>329</v>
      </c>
      <c r="E2768" s="7">
        <f t="shared" si="125"/>
        <v>1</v>
      </c>
      <c r="F2768" s="22" t="str">
        <f>IF(ISERROR(VLOOKUP($A2768,#REF!,3,0)),"x",VLOOKUP($A2768,#REF!,3,FALSE))</f>
        <v>x</v>
      </c>
      <c r="G2768" s="9">
        <f t="shared" si="126"/>
        <v>1</v>
      </c>
      <c r="H2768" s="13">
        <f t="shared" si="127"/>
        <v>303.5</v>
      </c>
    </row>
    <row r="2769" spans="1:8" x14ac:dyDescent="0.25">
      <c r="A2769" s="2" t="str">
        <f>"ZE-10WW7"</f>
        <v>ZE-10WW7</v>
      </c>
      <c r="B2769" s="2" t="str">
        <f>"ZEUS Pollerleuchte, 10W, 3000K, H315mm, CRI&gt;80, alugrau"</f>
        <v>ZEUS Pollerleuchte, 10W, 3000K, H315mm, CRI&gt;80, alugrau</v>
      </c>
      <c r="C2769" s="16">
        <v>303.5</v>
      </c>
      <c r="D2769" s="11">
        <v>329</v>
      </c>
      <c r="E2769" s="7">
        <f t="shared" si="125"/>
        <v>1</v>
      </c>
      <c r="F2769" s="22" t="str">
        <f>IF(ISERROR(VLOOKUP($A2769,#REF!,3,0)),"x",VLOOKUP($A2769,#REF!,3,FALSE))</f>
        <v>x</v>
      </c>
      <c r="G2769" s="9">
        <f t="shared" si="126"/>
        <v>1</v>
      </c>
      <c r="H2769" s="13">
        <f t="shared" si="127"/>
        <v>303.5</v>
      </c>
    </row>
    <row r="2770" spans="1:8" x14ac:dyDescent="0.25">
      <c r="A2770" s="2" t="str">
        <f>"ZUL-LEST1800"</f>
        <v>ZUL-LEST1800</v>
      </c>
      <c r="B2770" s="2" t="str">
        <f>"Zuleitung 1800mm für LEST-xx, weiss"</f>
        <v>Zuleitung 1800mm für LEST-xx, weiss</v>
      </c>
      <c r="C2770" s="16">
        <v>8</v>
      </c>
      <c r="D2770" s="11">
        <v>87</v>
      </c>
      <c r="E2770" s="7">
        <f t="shared" si="125"/>
        <v>1</v>
      </c>
      <c r="F2770" s="22" t="str">
        <f>IF(ISERROR(VLOOKUP($A2770,#REF!,3,0)),"x",VLOOKUP($A2770,#REF!,3,FALSE))</f>
        <v>x</v>
      </c>
      <c r="G2770" s="9">
        <f t="shared" si="126"/>
        <v>1</v>
      </c>
      <c r="H2770" s="13">
        <f t="shared" si="127"/>
        <v>8</v>
      </c>
    </row>
    <row r="2771" spans="1:8" x14ac:dyDescent="0.25">
      <c r="A2771" s="2" t="str">
        <f>"ZUL-NAH200"</f>
        <v>ZUL-NAH200</v>
      </c>
      <c r="B2771" s="2" t="str">
        <f>"Zuleitung 2000mm für NAH-xx, weiss"</f>
        <v>Zuleitung 2000mm für NAH-xx, weiss</v>
      </c>
      <c r="C2771" s="16">
        <v>8.5</v>
      </c>
      <c r="D2771" s="11">
        <v>89</v>
      </c>
      <c r="E2771" s="7">
        <f t="shared" si="125"/>
        <v>1</v>
      </c>
      <c r="F2771" s="22" t="str">
        <f>IF(ISERROR(VLOOKUP($A2771,#REF!,3,0)),"x",VLOOKUP($A2771,#REF!,3,FALSE))</f>
        <v>x</v>
      </c>
      <c r="G2771" s="9">
        <f t="shared" si="126"/>
        <v>1</v>
      </c>
      <c r="H2771" s="13">
        <f t="shared" si="127"/>
        <v>8.5</v>
      </c>
    </row>
    <row r="2772" spans="1:8" x14ac:dyDescent="0.25">
      <c r="H2772" s="14"/>
    </row>
    <row r="2776" spans="1:8" x14ac:dyDescent="0.25">
      <c r="A2776" s="5" t="s">
        <v>5</v>
      </c>
    </row>
    <row r="2777" spans="1:8" x14ac:dyDescent="0.25">
      <c r="A2777" s="2" t="s">
        <v>6</v>
      </c>
    </row>
    <row r="2778" spans="1:8" x14ac:dyDescent="0.25">
      <c r="A2778" s="2" t="s">
        <v>7</v>
      </c>
    </row>
    <row r="2780" spans="1:8" x14ac:dyDescent="0.25">
      <c r="A2780" s="2" t="s">
        <v>8</v>
      </c>
    </row>
    <row r="2782" spans="1:8" x14ac:dyDescent="0.25">
      <c r="A2782" s="2" t="s">
        <v>9</v>
      </c>
    </row>
    <row r="2784" spans="1:8" x14ac:dyDescent="0.25">
      <c r="A2784" s="2" t="s">
        <v>10</v>
      </c>
    </row>
    <row r="2786" spans="1:1" x14ac:dyDescent="0.25">
      <c r="A2786" s="2" t="s">
        <v>11</v>
      </c>
    </row>
    <row r="2787" spans="1:1" x14ac:dyDescent="0.25">
      <c r="A2787" s="2" t="s">
        <v>12</v>
      </c>
    </row>
    <row r="2789" spans="1:1" x14ac:dyDescent="0.25">
      <c r="A2789" s="5" t="s">
        <v>13</v>
      </c>
    </row>
    <row r="2790" spans="1:1" x14ac:dyDescent="0.25">
      <c r="A2790" s="2" t="s">
        <v>23</v>
      </c>
    </row>
    <row r="2792" spans="1:1" x14ac:dyDescent="0.25">
      <c r="A2792" s="5" t="s">
        <v>14</v>
      </c>
    </row>
    <row r="2793" spans="1:1" x14ac:dyDescent="0.25">
      <c r="A2793" s="2" t="s">
        <v>15</v>
      </c>
    </row>
    <row r="2795" spans="1:1" x14ac:dyDescent="0.25">
      <c r="A2795" s="5" t="s">
        <v>40</v>
      </c>
    </row>
    <row r="2796" spans="1:1" x14ac:dyDescent="0.25">
      <c r="A2796" s="5"/>
    </row>
    <row r="2798" spans="1:1" x14ac:dyDescent="0.25">
      <c r="A2798" s="5" t="s">
        <v>20</v>
      </c>
    </row>
    <row r="2799" spans="1:1" x14ac:dyDescent="0.25">
      <c r="A2799" s="2" t="s">
        <v>16</v>
      </c>
    </row>
    <row r="2800" spans="1:1" x14ac:dyDescent="0.25">
      <c r="A2800" s="2" t="s">
        <v>21</v>
      </c>
    </row>
    <row r="2802" spans="1:1" x14ac:dyDescent="0.25">
      <c r="A2802" s="5" t="s">
        <v>17</v>
      </c>
    </row>
    <row r="2803" spans="1:1" x14ac:dyDescent="0.25">
      <c r="A2803" s="2" t="s">
        <v>24</v>
      </c>
    </row>
    <row r="2805" spans="1:1" x14ac:dyDescent="0.25">
      <c r="A2805" s="5" t="s">
        <v>18</v>
      </c>
    </row>
    <row r="2806" spans="1:1" x14ac:dyDescent="0.25">
      <c r="A2806" s="2" t="s">
        <v>19</v>
      </c>
    </row>
    <row r="2808" spans="1:1" x14ac:dyDescent="0.25">
      <c r="A2808" s="5" t="s">
        <v>41</v>
      </c>
    </row>
  </sheetData>
  <mergeCells count="1">
    <mergeCell ref="C1:D1"/>
  </mergeCells>
  <conditionalFormatting sqref="E4:E2771">
    <cfRule type="cellIs" dxfId="4" priority="5" operator="equal">
      <formula>-1</formula>
    </cfRule>
  </conditionalFormatting>
  <conditionalFormatting sqref="E4:E2771">
    <cfRule type="expression" dxfId="3" priority="3">
      <formula>OR(ISBLANK(F4),(AND(C4&lt;&gt;F4,F4="x")))</formula>
    </cfRule>
    <cfRule type="cellIs" dxfId="2" priority="4" operator="equal">
      <formula>1</formula>
    </cfRule>
  </conditionalFormatting>
  <conditionalFormatting sqref="F4:F2771">
    <cfRule type="expression" dxfId="1" priority="2">
      <formula>OR(ISBLANK(F4),(AND(C4&lt;&gt;F4,F4="x")))</formula>
    </cfRule>
  </conditionalFormatting>
  <conditionalFormatting sqref="E4:E2771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scale="56" fitToHeight="0" orientation="portrait" verticalDpi="1200" r:id="rId1"/>
  <ignoredErrors>
    <ignoredError sqref="F1815 F1791 F176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Bruttopreise, zzgl. MwSt</vt:lpstr>
      <vt:lpstr>'Bruttopreise, zzgl. MwSt'!Druckbereich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Bier</dc:creator>
  <cp:lastModifiedBy>Marco Müller</cp:lastModifiedBy>
  <cp:lastPrinted>2024-04-25T11:12:24Z</cp:lastPrinted>
  <dcterms:created xsi:type="dcterms:W3CDTF">2021-11-15T13:38:01Z</dcterms:created>
  <dcterms:modified xsi:type="dcterms:W3CDTF">2024-04-25T11:13:02Z</dcterms:modified>
</cp:coreProperties>
</file>