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Öffentliche Daten\Preislisten\2020\"/>
    </mc:Choice>
  </mc:AlternateContent>
  <bookViews>
    <workbookView xWindow="0" yWindow="0" windowWidth="17820" windowHeight="89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84" i="1" l="1"/>
  <c r="A1484" i="1"/>
  <c r="C1484" i="1"/>
  <c r="B1206" i="1"/>
  <c r="A1206" i="1"/>
  <c r="C1206" i="1"/>
  <c r="B1204" i="1"/>
  <c r="A1204" i="1"/>
  <c r="C1204" i="1"/>
  <c r="B1202" i="1"/>
  <c r="C1202" i="1"/>
  <c r="A1202" i="1"/>
  <c r="A653" i="1" l="1"/>
  <c r="B4" i="1" l="1"/>
  <c r="B5" i="1"/>
  <c r="B6" i="1"/>
  <c r="A4" i="1" l="1"/>
  <c r="C4" i="1"/>
  <c r="A5" i="1"/>
  <c r="C5" i="1"/>
  <c r="A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C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C205" i="1"/>
  <c r="A206" i="1"/>
  <c r="B206" i="1"/>
  <c r="C206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C221" i="1"/>
  <c r="A222" i="1"/>
  <c r="B222" i="1"/>
  <c r="C222" i="1"/>
  <c r="A223" i="1"/>
  <c r="B223" i="1"/>
  <c r="C223" i="1"/>
  <c r="A224" i="1"/>
  <c r="B224" i="1"/>
  <c r="C224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C233" i="1"/>
  <c r="A234" i="1"/>
  <c r="B234" i="1"/>
  <c r="C234" i="1"/>
  <c r="A235" i="1"/>
  <c r="B235" i="1"/>
  <c r="C235" i="1"/>
  <c r="A236" i="1"/>
  <c r="B236" i="1"/>
  <c r="C236" i="1"/>
  <c r="A237" i="1"/>
  <c r="B237" i="1"/>
  <c r="C237" i="1"/>
  <c r="A238" i="1"/>
  <c r="B238" i="1"/>
  <c r="C238" i="1"/>
  <c r="A239" i="1"/>
  <c r="B239" i="1"/>
  <c r="C239" i="1"/>
  <c r="A240" i="1"/>
  <c r="B240" i="1"/>
  <c r="C240" i="1"/>
  <c r="A241" i="1"/>
  <c r="B241" i="1"/>
  <c r="C241" i="1"/>
  <c r="A242" i="1"/>
  <c r="B242" i="1"/>
  <c r="C242" i="1"/>
  <c r="A243" i="1"/>
  <c r="B243" i="1"/>
  <c r="C243" i="1"/>
  <c r="A244" i="1"/>
  <c r="B244" i="1"/>
  <c r="C244" i="1"/>
  <c r="A245" i="1"/>
  <c r="B245" i="1"/>
  <c r="C245" i="1"/>
  <c r="A246" i="1"/>
  <c r="B246" i="1"/>
  <c r="C246" i="1"/>
  <c r="A247" i="1"/>
  <c r="B247" i="1"/>
  <c r="C247" i="1"/>
  <c r="A248" i="1"/>
  <c r="B248" i="1"/>
  <c r="C248" i="1"/>
  <c r="A249" i="1"/>
  <c r="B249" i="1"/>
  <c r="C249" i="1"/>
  <c r="A250" i="1"/>
  <c r="B250" i="1"/>
  <c r="C250" i="1"/>
  <c r="A251" i="1"/>
  <c r="B251" i="1"/>
  <c r="C251" i="1"/>
  <c r="A252" i="1"/>
  <c r="B252" i="1"/>
  <c r="C252" i="1"/>
  <c r="A253" i="1"/>
  <c r="B253" i="1"/>
  <c r="C253" i="1"/>
  <c r="A254" i="1"/>
  <c r="B254" i="1"/>
  <c r="C254" i="1"/>
  <c r="A255" i="1"/>
  <c r="B255" i="1"/>
  <c r="C255" i="1"/>
  <c r="A256" i="1"/>
  <c r="B256" i="1"/>
  <c r="C256" i="1"/>
  <c r="A257" i="1"/>
  <c r="B257" i="1"/>
  <c r="C257" i="1"/>
  <c r="A258" i="1"/>
  <c r="B258" i="1"/>
  <c r="C258" i="1"/>
  <c r="A259" i="1"/>
  <c r="B259" i="1"/>
  <c r="C259" i="1"/>
  <c r="A260" i="1"/>
  <c r="B260" i="1"/>
  <c r="C260" i="1"/>
  <c r="A261" i="1"/>
  <c r="B261" i="1"/>
  <c r="C261" i="1"/>
  <c r="A262" i="1"/>
  <c r="B262" i="1"/>
  <c r="C262" i="1"/>
  <c r="A263" i="1"/>
  <c r="B263" i="1"/>
  <c r="C263" i="1"/>
  <c r="A264" i="1"/>
  <c r="B264" i="1"/>
  <c r="C264" i="1"/>
  <c r="A265" i="1"/>
  <c r="B265" i="1"/>
  <c r="C265" i="1"/>
  <c r="A266" i="1"/>
  <c r="B266" i="1"/>
  <c r="C266" i="1"/>
  <c r="A267" i="1"/>
  <c r="B267" i="1"/>
  <c r="C267" i="1"/>
  <c r="A268" i="1"/>
  <c r="B268" i="1"/>
  <c r="C268" i="1"/>
  <c r="A269" i="1"/>
  <c r="B269" i="1"/>
  <c r="C269" i="1"/>
  <c r="A270" i="1"/>
  <c r="B270" i="1"/>
  <c r="C270" i="1"/>
  <c r="A271" i="1"/>
  <c r="B271" i="1"/>
  <c r="C271" i="1"/>
  <c r="A272" i="1"/>
  <c r="B272" i="1"/>
  <c r="C272" i="1"/>
  <c r="A273" i="1"/>
  <c r="B273" i="1"/>
  <c r="C273" i="1"/>
  <c r="A274" i="1"/>
  <c r="B274" i="1"/>
  <c r="C274" i="1"/>
  <c r="A275" i="1"/>
  <c r="B275" i="1"/>
  <c r="C275" i="1"/>
  <c r="A276" i="1"/>
  <c r="B276" i="1"/>
  <c r="C276" i="1"/>
  <c r="A277" i="1"/>
  <c r="B277" i="1"/>
  <c r="C277" i="1"/>
  <c r="A278" i="1"/>
  <c r="B278" i="1"/>
  <c r="C278" i="1"/>
  <c r="A279" i="1"/>
  <c r="B279" i="1"/>
  <c r="C279" i="1"/>
  <c r="A280" i="1"/>
  <c r="B280" i="1"/>
  <c r="C280" i="1"/>
  <c r="A281" i="1"/>
  <c r="B281" i="1"/>
  <c r="C28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C286" i="1"/>
  <c r="A287" i="1"/>
  <c r="B287" i="1"/>
  <c r="C287" i="1"/>
  <c r="A288" i="1"/>
  <c r="B288" i="1"/>
  <c r="C288" i="1"/>
  <c r="A289" i="1"/>
  <c r="B289" i="1"/>
  <c r="C289" i="1"/>
  <c r="A290" i="1"/>
  <c r="B290" i="1"/>
  <c r="C290" i="1"/>
  <c r="A291" i="1"/>
  <c r="B291" i="1"/>
  <c r="C291" i="1"/>
  <c r="A292" i="1"/>
  <c r="B292" i="1"/>
  <c r="C292" i="1"/>
  <c r="A293" i="1"/>
  <c r="B293" i="1"/>
  <c r="C293" i="1"/>
  <c r="A294" i="1"/>
  <c r="B294" i="1"/>
  <c r="C294" i="1"/>
  <c r="A295" i="1"/>
  <c r="B295" i="1"/>
  <c r="C295" i="1"/>
  <c r="A296" i="1"/>
  <c r="B296" i="1"/>
  <c r="C296" i="1"/>
  <c r="A297" i="1"/>
  <c r="B297" i="1"/>
  <c r="C297" i="1"/>
  <c r="A298" i="1"/>
  <c r="B298" i="1"/>
  <c r="C298" i="1"/>
  <c r="A299" i="1"/>
  <c r="B299" i="1"/>
  <c r="C299" i="1"/>
  <c r="A300" i="1"/>
  <c r="B300" i="1"/>
  <c r="C300" i="1"/>
  <c r="A301" i="1"/>
  <c r="B301" i="1"/>
  <c r="C301" i="1"/>
  <c r="A302" i="1"/>
  <c r="B302" i="1"/>
  <c r="C302" i="1"/>
  <c r="A303" i="1"/>
  <c r="B303" i="1"/>
  <c r="C303" i="1"/>
  <c r="A304" i="1"/>
  <c r="B304" i="1"/>
  <c r="C304" i="1"/>
  <c r="A305" i="1"/>
  <c r="B305" i="1"/>
  <c r="C305" i="1"/>
  <c r="A306" i="1"/>
  <c r="B306" i="1"/>
  <c r="C306" i="1"/>
  <c r="A307" i="1"/>
  <c r="B307" i="1"/>
  <c r="C307" i="1"/>
  <c r="A308" i="1"/>
  <c r="B308" i="1"/>
  <c r="C308" i="1"/>
  <c r="A309" i="1"/>
  <c r="B309" i="1"/>
  <c r="C309" i="1"/>
  <c r="A310" i="1"/>
  <c r="B310" i="1"/>
  <c r="C310" i="1"/>
  <c r="A311" i="1"/>
  <c r="B311" i="1"/>
  <c r="C311" i="1"/>
  <c r="A312" i="1"/>
  <c r="B312" i="1"/>
  <c r="C312" i="1"/>
  <c r="A313" i="1"/>
  <c r="B313" i="1"/>
  <c r="C313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C318" i="1"/>
  <c r="A319" i="1"/>
  <c r="B319" i="1"/>
  <c r="C319" i="1"/>
  <c r="A320" i="1"/>
  <c r="B320" i="1"/>
  <c r="C320" i="1"/>
  <c r="A321" i="1"/>
  <c r="B321" i="1"/>
  <c r="C321" i="1"/>
  <c r="A322" i="1"/>
  <c r="B322" i="1"/>
  <c r="C322" i="1"/>
  <c r="A323" i="1"/>
  <c r="B323" i="1"/>
  <c r="C323" i="1"/>
  <c r="A324" i="1"/>
  <c r="B324" i="1"/>
  <c r="C324" i="1"/>
  <c r="A325" i="1"/>
  <c r="B325" i="1"/>
  <c r="C325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330" i="1"/>
  <c r="B330" i="1"/>
  <c r="C330" i="1"/>
  <c r="A331" i="1"/>
  <c r="B331" i="1"/>
  <c r="C331" i="1"/>
  <c r="A332" i="1"/>
  <c r="B332" i="1"/>
  <c r="C332" i="1"/>
  <c r="A333" i="1"/>
  <c r="B333" i="1"/>
  <c r="C333" i="1"/>
  <c r="A334" i="1"/>
  <c r="B334" i="1"/>
  <c r="C334" i="1"/>
  <c r="A335" i="1"/>
  <c r="B335" i="1"/>
  <c r="C335" i="1"/>
  <c r="A336" i="1"/>
  <c r="B336" i="1"/>
  <c r="C336" i="1"/>
  <c r="A337" i="1"/>
  <c r="B337" i="1"/>
  <c r="C337" i="1"/>
  <c r="A338" i="1"/>
  <c r="B338" i="1"/>
  <c r="C338" i="1"/>
  <c r="A339" i="1"/>
  <c r="B339" i="1"/>
  <c r="C339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344" i="1"/>
  <c r="B344" i="1"/>
  <c r="C344" i="1"/>
  <c r="A345" i="1"/>
  <c r="B345" i="1"/>
  <c r="C345" i="1"/>
  <c r="A346" i="1"/>
  <c r="B346" i="1"/>
  <c r="C346" i="1"/>
  <c r="A347" i="1"/>
  <c r="B347" i="1"/>
  <c r="C347" i="1"/>
  <c r="A348" i="1"/>
  <c r="B348" i="1"/>
  <c r="C348" i="1"/>
  <c r="A349" i="1"/>
  <c r="B349" i="1"/>
  <c r="C349" i="1"/>
  <c r="A350" i="1"/>
  <c r="B350" i="1"/>
  <c r="C350" i="1"/>
  <c r="A351" i="1"/>
  <c r="B351" i="1"/>
  <c r="C351" i="1"/>
  <c r="A352" i="1"/>
  <c r="B352" i="1"/>
  <c r="C352" i="1"/>
  <c r="A353" i="1"/>
  <c r="B353" i="1"/>
  <c r="C353" i="1"/>
  <c r="A354" i="1"/>
  <c r="B354" i="1"/>
  <c r="C354" i="1"/>
  <c r="A355" i="1"/>
  <c r="B355" i="1"/>
  <c r="C355" i="1"/>
  <c r="A356" i="1"/>
  <c r="B356" i="1"/>
  <c r="C356" i="1"/>
  <c r="A357" i="1"/>
  <c r="B357" i="1"/>
  <c r="C357" i="1"/>
  <c r="A358" i="1"/>
  <c r="B358" i="1"/>
  <c r="C358" i="1"/>
  <c r="A359" i="1"/>
  <c r="B359" i="1"/>
  <c r="C359" i="1"/>
  <c r="A360" i="1"/>
  <c r="B360" i="1"/>
  <c r="C360" i="1"/>
  <c r="A361" i="1"/>
  <c r="B361" i="1"/>
  <c r="C361" i="1"/>
  <c r="A362" i="1"/>
  <c r="B362" i="1"/>
  <c r="C362" i="1"/>
  <c r="A363" i="1"/>
  <c r="B363" i="1"/>
  <c r="C363" i="1"/>
  <c r="A364" i="1"/>
  <c r="B364" i="1"/>
  <c r="C364" i="1"/>
  <c r="A365" i="1"/>
  <c r="B365" i="1"/>
  <c r="C365" i="1"/>
  <c r="A366" i="1"/>
  <c r="B366" i="1"/>
  <c r="C366" i="1"/>
  <c r="A367" i="1"/>
  <c r="B367" i="1"/>
  <c r="C367" i="1"/>
  <c r="A368" i="1"/>
  <c r="B368" i="1"/>
  <c r="C368" i="1"/>
  <c r="A369" i="1"/>
  <c r="B369" i="1"/>
  <c r="C369" i="1"/>
  <c r="A370" i="1"/>
  <c r="B370" i="1"/>
  <c r="C370" i="1"/>
  <c r="A371" i="1"/>
  <c r="B371" i="1"/>
  <c r="C371" i="1"/>
  <c r="A372" i="1"/>
  <c r="B372" i="1"/>
  <c r="C372" i="1"/>
  <c r="A373" i="1"/>
  <c r="B373" i="1"/>
  <c r="C373" i="1"/>
  <c r="A374" i="1"/>
  <c r="B374" i="1"/>
  <c r="C374" i="1"/>
  <c r="A375" i="1"/>
  <c r="B375" i="1"/>
  <c r="C375" i="1"/>
  <c r="A376" i="1"/>
  <c r="B376" i="1"/>
  <c r="C376" i="1"/>
  <c r="A377" i="1"/>
  <c r="B377" i="1"/>
  <c r="C377" i="1"/>
  <c r="A378" i="1"/>
  <c r="B378" i="1"/>
  <c r="C378" i="1"/>
  <c r="A379" i="1"/>
  <c r="B379" i="1"/>
  <c r="C379" i="1"/>
  <c r="A380" i="1"/>
  <c r="B380" i="1"/>
  <c r="C380" i="1"/>
  <c r="A381" i="1"/>
  <c r="B381" i="1"/>
  <c r="C381" i="1"/>
  <c r="A382" i="1"/>
  <c r="B382" i="1"/>
  <c r="C382" i="1"/>
  <c r="A383" i="1"/>
  <c r="B383" i="1"/>
  <c r="C383" i="1"/>
  <c r="A384" i="1"/>
  <c r="B384" i="1"/>
  <c r="C384" i="1"/>
  <c r="A385" i="1"/>
  <c r="B385" i="1"/>
  <c r="C385" i="1"/>
  <c r="A386" i="1"/>
  <c r="B386" i="1"/>
  <c r="C386" i="1"/>
  <c r="A387" i="1"/>
  <c r="B387" i="1"/>
  <c r="C387" i="1"/>
  <c r="A388" i="1"/>
  <c r="B388" i="1"/>
  <c r="C388" i="1"/>
  <c r="A389" i="1"/>
  <c r="B389" i="1"/>
  <c r="C389" i="1"/>
  <c r="A390" i="1"/>
  <c r="B390" i="1"/>
  <c r="C390" i="1"/>
  <c r="A391" i="1"/>
  <c r="B391" i="1"/>
  <c r="C391" i="1"/>
  <c r="A392" i="1"/>
  <c r="B392" i="1"/>
  <c r="C392" i="1"/>
  <c r="A393" i="1"/>
  <c r="B393" i="1"/>
  <c r="C393" i="1"/>
  <c r="A394" i="1"/>
  <c r="B394" i="1"/>
  <c r="C394" i="1"/>
  <c r="A395" i="1"/>
  <c r="B395" i="1"/>
  <c r="C395" i="1"/>
  <c r="A396" i="1"/>
  <c r="B396" i="1"/>
  <c r="C396" i="1"/>
  <c r="A397" i="1"/>
  <c r="B397" i="1"/>
  <c r="C397" i="1"/>
  <c r="A398" i="1"/>
  <c r="B398" i="1"/>
  <c r="C398" i="1"/>
  <c r="A399" i="1"/>
  <c r="B399" i="1"/>
  <c r="C399" i="1"/>
  <c r="A400" i="1"/>
  <c r="B400" i="1"/>
  <c r="C400" i="1"/>
  <c r="A401" i="1"/>
  <c r="B401" i="1"/>
  <c r="C401" i="1"/>
  <c r="A402" i="1"/>
  <c r="B402" i="1"/>
  <c r="C402" i="1"/>
  <c r="A403" i="1"/>
  <c r="B403" i="1"/>
  <c r="C403" i="1"/>
  <c r="A404" i="1"/>
  <c r="B404" i="1"/>
  <c r="C404" i="1"/>
  <c r="A405" i="1"/>
  <c r="B405" i="1"/>
  <c r="C405" i="1"/>
  <c r="A406" i="1"/>
  <c r="B406" i="1"/>
  <c r="C406" i="1"/>
  <c r="A407" i="1"/>
  <c r="B407" i="1"/>
  <c r="C407" i="1"/>
  <c r="A408" i="1"/>
  <c r="B408" i="1"/>
  <c r="C408" i="1"/>
  <c r="A409" i="1"/>
  <c r="B409" i="1"/>
  <c r="C409" i="1"/>
  <c r="A410" i="1"/>
  <c r="B410" i="1"/>
  <c r="C410" i="1"/>
  <c r="A411" i="1"/>
  <c r="B411" i="1"/>
  <c r="C411" i="1"/>
  <c r="A412" i="1"/>
  <c r="B412" i="1"/>
  <c r="C412" i="1"/>
  <c r="A413" i="1"/>
  <c r="B413" i="1"/>
  <c r="C413" i="1"/>
  <c r="A414" i="1"/>
  <c r="B414" i="1"/>
  <c r="C414" i="1"/>
  <c r="A415" i="1"/>
  <c r="B415" i="1"/>
  <c r="C415" i="1"/>
  <c r="A416" i="1"/>
  <c r="B416" i="1"/>
  <c r="C416" i="1"/>
  <c r="A417" i="1"/>
  <c r="B417" i="1"/>
  <c r="C417" i="1"/>
  <c r="A418" i="1"/>
  <c r="B418" i="1"/>
  <c r="C418" i="1"/>
  <c r="A419" i="1"/>
  <c r="B419" i="1"/>
  <c r="C419" i="1"/>
  <c r="A420" i="1"/>
  <c r="B420" i="1"/>
  <c r="C420" i="1"/>
  <c r="A421" i="1"/>
  <c r="B421" i="1"/>
  <c r="C421" i="1"/>
  <c r="A422" i="1"/>
  <c r="B422" i="1"/>
  <c r="C422" i="1"/>
  <c r="A423" i="1"/>
  <c r="B423" i="1"/>
  <c r="C423" i="1"/>
  <c r="A424" i="1"/>
  <c r="B424" i="1"/>
  <c r="C424" i="1"/>
  <c r="A425" i="1"/>
  <c r="B425" i="1"/>
  <c r="C425" i="1"/>
  <c r="A426" i="1"/>
  <c r="B426" i="1"/>
  <c r="C426" i="1"/>
  <c r="A427" i="1"/>
  <c r="B427" i="1"/>
  <c r="C427" i="1"/>
  <c r="A428" i="1"/>
  <c r="B428" i="1"/>
  <c r="C428" i="1"/>
  <c r="A429" i="1"/>
  <c r="B429" i="1"/>
  <c r="C429" i="1"/>
  <c r="A430" i="1"/>
  <c r="B430" i="1"/>
  <c r="C430" i="1"/>
  <c r="A431" i="1"/>
  <c r="B431" i="1"/>
  <c r="C431" i="1"/>
  <c r="A432" i="1"/>
  <c r="B432" i="1"/>
  <c r="C432" i="1"/>
  <c r="A433" i="1"/>
  <c r="B433" i="1"/>
  <c r="C433" i="1"/>
  <c r="A434" i="1"/>
  <c r="B434" i="1"/>
  <c r="C434" i="1"/>
  <c r="A435" i="1"/>
  <c r="B435" i="1"/>
  <c r="C435" i="1"/>
  <c r="A436" i="1"/>
  <c r="B436" i="1"/>
  <c r="C436" i="1"/>
  <c r="A437" i="1"/>
  <c r="B437" i="1"/>
  <c r="C437" i="1"/>
  <c r="A438" i="1"/>
  <c r="B438" i="1"/>
  <c r="C438" i="1"/>
  <c r="A439" i="1"/>
  <c r="B439" i="1"/>
  <c r="C439" i="1"/>
  <c r="A440" i="1"/>
  <c r="B440" i="1"/>
  <c r="C440" i="1"/>
  <c r="A441" i="1"/>
  <c r="B441" i="1"/>
  <c r="C441" i="1"/>
  <c r="A442" i="1"/>
  <c r="B442" i="1"/>
  <c r="C442" i="1"/>
  <c r="A443" i="1"/>
  <c r="B443" i="1"/>
  <c r="C443" i="1"/>
  <c r="A444" i="1"/>
  <c r="B444" i="1"/>
  <c r="C444" i="1"/>
  <c r="A445" i="1"/>
  <c r="B445" i="1"/>
  <c r="C445" i="1"/>
  <c r="A446" i="1"/>
  <c r="B446" i="1"/>
  <c r="C446" i="1"/>
  <c r="A447" i="1"/>
  <c r="B447" i="1"/>
  <c r="C447" i="1"/>
  <c r="A448" i="1"/>
  <c r="B448" i="1"/>
  <c r="C448" i="1"/>
  <c r="A449" i="1"/>
  <c r="B449" i="1"/>
  <c r="C449" i="1"/>
  <c r="A450" i="1"/>
  <c r="B450" i="1"/>
  <c r="C450" i="1"/>
  <c r="A451" i="1"/>
  <c r="B451" i="1"/>
  <c r="C451" i="1"/>
  <c r="A452" i="1"/>
  <c r="B452" i="1"/>
  <c r="C452" i="1"/>
  <c r="A453" i="1"/>
  <c r="B453" i="1"/>
  <c r="C453" i="1"/>
  <c r="A454" i="1"/>
  <c r="B454" i="1"/>
  <c r="C454" i="1"/>
  <c r="A455" i="1"/>
  <c r="B455" i="1"/>
  <c r="C455" i="1"/>
  <c r="A456" i="1"/>
  <c r="B456" i="1"/>
  <c r="C456" i="1"/>
  <c r="A457" i="1"/>
  <c r="B457" i="1"/>
  <c r="C457" i="1"/>
  <c r="A458" i="1"/>
  <c r="B458" i="1"/>
  <c r="C458" i="1"/>
  <c r="A459" i="1"/>
  <c r="B459" i="1"/>
  <c r="C459" i="1"/>
  <c r="A460" i="1"/>
  <c r="B460" i="1"/>
  <c r="C460" i="1"/>
  <c r="A461" i="1"/>
  <c r="B461" i="1"/>
  <c r="C461" i="1"/>
  <c r="A462" i="1"/>
  <c r="B462" i="1"/>
  <c r="C462" i="1"/>
  <c r="A463" i="1"/>
  <c r="B463" i="1"/>
  <c r="C463" i="1"/>
  <c r="A464" i="1"/>
  <c r="B464" i="1"/>
  <c r="C464" i="1"/>
  <c r="A465" i="1"/>
  <c r="B465" i="1"/>
  <c r="C465" i="1"/>
  <c r="A466" i="1"/>
  <c r="B466" i="1"/>
  <c r="C466" i="1"/>
  <c r="A467" i="1"/>
  <c r="B467" i="1"/>
  <c r="C467" i="1"/>
  <c r="A468" i="1"/>
  <c r="B468" i="1"/>
  <c r="C468" i="1"/>
  <c r="A469" i="1"/>
  <c r="B469" i="1"/>
  <c r="C469" i="1"/>
  <c r="A470" i="1"/>
  <c r="B470" i="1"/>
  <c r="C470" i="1"/>
  <c r="A471" i="1"/>
  <c r="B471" i="1"/>
  <c r="C471" i="1"/>
  <c r="A472" i="1"/>
  <c r="B472" i="1"/>
  <c r="C472" i="1"/>
  <c r="A473" i="1"/>
  <c r="B473" i="1"/>
  <c r="C473" i="1"/>
  <c r="A474" i="1"/>
  <c r="B474" i="1"/>
  <c r="C474" i="1"/>
  <c r="A475" i="1"/>
  <c r="B475" i="1"/>
  <c r="C475" i="1"/>
  <c r="A476" i="1"/>
  <c r="B476" i="1"/>
  <c r="C476" i="1"/>
  <c r="A477" i="1"/>
  <c r="B477" i="1"/>
  <c r="C477" i="1"/>
  <c r="A478" i="1"/>
  <c r="B478" i="1"/>
  <c r="C478" i="1"/>
  <c r="A479" i="1"/>
  <c r="B479" i="1"/>
  <c r="C479" i="1"/>
  <c r="A480" i="1"/>
  <c r="B480" i="1"/>
  <c r="C480" i="1"/>
  <c r="A481" i="1"/>
  <c r="B481" i="1"/>
  <c r="C481" i="1"/>
  <c r="A482" i="1"/>
  <c r="B482" i="1"/>
  <c r="C482" i="1"/>
  <c r="A483" i="1"/>
  <c r="B483" i="1"/>
  <c r="C483" i="1"/>
  <c r="A484" i="1"/>
  <c r="B484" i="1"/>
  <c r="C484" i="1"/>
  <c r="A485" i="1"/>
  <c r="B485" i="1"/>
  <c r="C485" i="1"/>
  <c r="A486" i="1"/>
  <c r="B486" i="1"/>
  <c r="C486" i="1"/>
  <c r="A487" i="1"/>
  <c r="B487" i="1"/>
  <c r="C487" i="1"/>
  <c r="A488" i="1"/>
  <c r="B488" i="1"/>
  <c r="C488" i="1"/>
  <c r="A489" i="1"/>
  <c r="B489" i="1"/>
  <c r="C489" i="1"/>
  <c r="A490" i="1"/>
  <c r="B490" i="1"/>
  <c r="C490" i="1"/>
  <c r="A491" i="1"/>
  <c r="B491" i="1"/>
  <c r="C491" i="1"/>
  <c r="A492" i="1"/>
  <c r="B492" i="1"/>
  <c r="C492" i="1"/>
  <c r="A493" i="1"/>
  <c r="B493" i="1"/>
  <c r="C493" i="1"/>
  <c r="A494" i="1"/>
  <c r="B494" i="1"/>
  <c r="C494" i="1"/>
  <c r="A495" i="1"/>
  <c r="B495" i="1"/>
  <c r="C495" i="1"/>
  <c r="A496" i="1"/>
  <c r="B496" i="1"/>
  <c r="C496" i="1"/>
  <c r="A497" i="1"/>
  <c r="B497" i="1"/>
  <c r="C497" i="1"/>
  <c r="A498" i="1"/>
  <c r="B498" i="1"/>
  <c r="C498" i="1"/>
  <c r="A499" i="1"/>
  <c r="B499" i="1"/>
  <c r="C499" i="1"/>
  <c r="A500" i="1"/>
  <c r="B500" i="1"/>
  <c r="C500" i="1"/>
  <c r="A501" i="1"/>
  <c r="B501" i="1"/>
  <c r="C501" i="1"/>
  <c r="A502" i="1"/>
  <c r="B502" i="1"/>
  <c r="C502" i="1"/>
  <c r="A503" i="1"/>
  <c r="B503" i="1"/>
  <c r="C503" i="1"/>
  <c r="A504" i="1"/>
  <c r="B504" i="1"/>
  <c r="C504" i="1"/>
  <c r="A505" i="1"/>
  <c r="B505" i="1"/>
  <c r="C505" i="1"/>
  <c r="A506" i="1"/>
  <c r="B506" i="1"/>
  <c r="C506" i="1"/>
  <c r="A507" i="1"/>
  <c r="B507" i="1"/>
  <c r="C507" i="1"/>
  <c r="A508" i="1"/>
  <c r="B508" i="1"/>
  <c r="C508" i="1"/>
  <c r="A509" i="1"/>
  <c r="B509" i="1"/>
  <c r="C509" i="1"/>
  <c r="A510" i="1"/>
  <c r="B510" i="1"/>
  <c r="C510" i="1"/>
  <c r="A511" i="1"/>
  <c r="B511" i="1"/>
  <c r="C511" i="1"/>
  <c r="A512" i="1"/>
  <c r="B512" i="1"/>
  <c r="C512" i="1"/>
  <c r="A513" i="1"/>
  <c r="B513" i="1"/>
  <c r="C513" i="1"/>
  <c r="A514" i="1"/>
  <c r="B514" i="1"/>
  <c r="C514" i="1"/>
  <c r="A515" i="1"/>
  <c r="B515" i="1"/>
  <c r="C515" i="1"/>
  <c r="A516" i="1"/>
  <c r="B516" i="1"/>
  <c r="C516" i="1"/>
  <c r="A517" i="1"/>
  <c r="B517" i="1"/>
  <c r="C517" i="1"/>
  <c r="A518" i="1"/>
  <c r="B518" i="1"/>
  <c r="C518" i="1"/>
  <c r="A519" i="1"/>
  <c r="B519" i="1"/>
  <c r="C519" i="1"/>
  <c r="A520" i="1"/>
  <c r="B520" i="1"/>
  <c r="C520" i="1"/>
  <c r="A521" i="1"/>
  <c r="B521" i="1"/>
  <c r="C521" i="1"/>
  <c r="A522" i="1"/>
  <c r="B522" i="1"/>
  <c r="C522" i="1"/>
  <c r="A523" i="1"/>
  <c r="B523" i="1"/>
  <c r="C523" i="1"/>
  <c r="A524" i="1"/>
  <c r="B524" i="1"/>
  <c r="C524" i="1"/>
  <c r="A525" i="1"/>
  <c r="B525" i="1"/>
  <c r="C525" i="1"/>
  <c r="A526" i="1"/>
  <c r="B526" i="1"/>
  <c r="C526" i="1"/>
  <c r="A527" i="1"/>
  <c r="B527" i="1"/>
  <c r="C527" i="1"/>
  <c r="A528" i="1"/>
  <c r="B528" i="1"/>
  <c r="C528" i="1"/>
  <c r="A529" i="1"/>
  <c r="B529" i="1"/>
  <c r="C529" i="1"/>
  <c r="A530" i="1"/>
  <c r="B530" i="1"/>
  <c r="C530" i="1"/>
  <c r="A531" i="1"/>
  <c r="B531" i="1"/>
  <c r="C531" i="1"/>
  <c r="A532" i="1"/>
  <c r="B532" i="1"/>
  <c r="C532" i="1"/>
  <c r="A533" i="1"/>
  <c r="B533" i="1"/>
  <c r="C533" i="1"/>
  <c r="A534" i="1"/>
  <c r="B534" i="1"/>
  <c r="C534" i="1"/>
  <c r="A535" i="1"/>
  <c r="B535" i="1"/>
  <c r="C535" i="1"/>
  <c r="A536" i="1"/>
  <c r="B536" i="1"/>
  <c r="C536" i="1"/>
  <c r="A537" i="1"/>
  <c r="B537" i="1"/>
  <c r="C537" i="1"/>
  <c r="A538" i="1"/>
  <c r="B538" i="1"/>
  <c r="C538" i="1"/>
  <c r="A539" i="1"/>
  <c r="B539" i="1"/>
  <c r="C539" i="1"/>
  <c r="A540" i="1"/>
  <c r="B540" i="1"/>
  <c r="C540" i="1"/>
  <c r="A541" i="1"/>
  <c r="B541" i="1"/>
  <c r="C541" i="1"/>
  <c r="A542" i="1"/>
  <c r="B542" i="1"/>
  <c r="C542" i="1"/>
  <c r="A543" i="1"/>
  <c r="B543" i="1"/>
  <c r="C543" i="1"/>
  <c r="A544" i="1"/>
  <c r="B544" i="1"/>
  <c r="C544" i="1"/>
  <c r="A545" i="1"/>
  <c r="B545" i="1"/>
  <c r="C545" i="1"/>
  <c r="A546" i="1"/>
  <c r="B546" i="1"/>
  <c r="C546" i="1"/>
  <c r="A547" i="1"/>
  <c r="B547" i="1"/>
  <c r="C547" i="1"/>
  <c r="A548" i="1"/>
  <c r="B548" i="1"/>
  <c r="C548" i="1"/>
  <c r="A549" i="1"/>
  <c r="B549" i="1"/>
  <c r="C549" i="1"/>
  <c r="A550" i="1"/>
  <c r="B550" i="1"/>
  <c r="C550" i="1"/>
  <c r="A551" i="1"/>
  <c r="B551" i="1"/>
  <c r="C551" i="1"/>
  <c r="A552" i="1"/>
  <c r="B552" i="1"/>
  <c r="C552" i="1"/>
  <c r="A553" i="1"/>
  <c r="B553" i="1"/>
  <c r="C553" i="1"/>
  <c r="A554" i="1"/>
  <c r="B554" i="1"/>
  <c r="C554" i="1"/>
  <c r="A555" i="1"/>
  <c r="B555" i="1"/>
  <c r="C555" i="1"/>
  <c r="A556" i="1"/>
  <c r="B556" i="1"/>
  <c r="C556" i="1"/>
  <c r="A557" i="1"/>
  <c r="B557" i="1"/>
  <c r="C557" i="1"/>
  <c r="A558" i="1"/>
  <c r="B558" i="1"/>
  <c r="C558" i="1"/>
  <c r="A559" i="1"/>
  <c r="B559" i="1"/>
  <c r="C559" i="1"/>
  <c r="A560" i="1"/>
  <c r="B560" i="1"/>
  <c r="C560" i="1"/>
  <c r="A561" i="1"/>
  <c r="B561" i="1"/>
  <c r="C561" i="1"/>
  <c r="A562" i="1"/>
  <c r="B562" i="1"/>
  <c r="C562" i="1"/>
  <c r="A563" i="1"/>
  <c r="B563" i="1"/>
  <c r="C563" i="1"/>
  <c r="A564" i="1"/>
  <c r="B564" i="1"/>
  <c r="C564" i="1"/>
  <c r="A565" i="1"/>
  <c r="B565" i="1"/>
  <c r="C565" i="1"/>
  <c r="A566" i="1"/>
  <c r="B566" i="1"/>
  <c r="C566" i="1"/>
  <c r="A567" i="1"/>
  <c r="B567" i="1"/>
  <c r="C567" i="1"/>
  <c r="A568" i="1"/>
  <c r="B568" i="1"/>
  <c r="C568" i="1"/>
  <c r="A569" i="1"/>
  <c r="B569" i="1"/>
  <c r="C569" i="1"/>
  <c r="A570" i="1"/>
  <c r="B570" i="1"/>
  <c r="C570" i="1"/>
  <c r="A571" i="1"/>
  <c r="B571" i="1"/>
  <c r="C571" i="1"/>
  <c r="A572" i="1"/>
  <c r="B572" i="1"/>
  <c r="C572" i="1"/>
  <c r="A573" i="1"/>
  <c r="B573" i="1"/>
  <c r="C573" i="1"/>
  <c r="A574" i="1"/>
  <c r="B574" i="1"/>
  <c r="C574" i="1"/>
  <c r="A575" i="1"/>
  <c r="B575" i="1"/>
  <c r="C575" i="1"/>
  <c r="A576" i="1"/>
  <c r="B576" i="1"/>
  <c r="C576" i="1"/>
  <c r="A577" i="1"/>
  <c r="B577" i="1"/>
  <c r="C577" i="1"/>
  <c r="A578" i="1"/>
  <c r="B578" i="1"/>
  <c r="C578" i="1"/>
  <c r="A579" i="1"/>
  <c r="B579" i="1"/>
  <c r="C579" i="1"/>
  <c r="A580" i="1"/>
  <c r="B580" i="1"/>
  <c r="C580" i="1"/>
  <c r="A581" i="1"/>
  <c r="B581" i="1"/>
  <c r="C581" i="1"/>
  <c r="A582" i="1"/>
  <c r="B582" i="1"/>
  <c r="C582" i="1"/>
  <c r="A583" i="1"/>
  <c r="B583" i="1"/>
  <c r="C583" i="1"/>
  <c r="A584" i="1"/>
  <c r="B584" i="1"/>
  <c r="C584" i="1"/>
  <c r="A585" i="1"/>
  <c r="B585" i="1"/>
  <c r="C585" i="1"/>
  <c r="A586" i="1"/>
  <c r="B586" i="1"/>
  <c r="C586" i="1"/>
  <c r="A587" i="1"/>
  <c r="B587" i="1"/>
  <c r="C587" i="1"/>
  <c r="A588" i="1"/>
  <c r="B588" i="1"/>
  <c r="C588" i="1"/>
  <c r="A589" i="1"/>
  <c r="B589" i="1"/>
  <c r="C589" i="1"/>
  <c r="A590" i="1"/>
  <c r="B590" i="1"/>
  <c r="C590" i="1"/>
  <c r="A591" i="1"/>
  <c r="B591" i="1"/>
  <c r="C591" i="1"/>
  <c r="A592" i="1"/>
  <c r="B592" i="1"/>
  <c r="C592" i="1"/>
  <c r="A593" i="1"/>
  <c r="B593" i="1"/>
  <c r="C593" i="1"/>
  <c r="A594" i="1"/>
  <c r="B594" i="1"/>
  <c r="C594" i="1"/>
  <c r="A595" i="1"/>
  <c r="B595" i="1"/>
  <c r="C595" i="1"/>
  <c r="A596" i="1"/>
  <c r="B596" i="1"/>
  <c r="C596" i="1"/>
  <c r="A597" i="1"/>
  <c r="B597" i="1"/>
  <c r="C597" i="1"/>
  <c r="A598" i="1"/>
  <c r="B598" i="1"/>
  <c r="C598" i="1"/>
  <c r="A599" i="1"/>
  <c r="B599" i="1"/>
  <c r="C599" i="1"/>
  <c r="A600" i="1"/>
  <c r="B600" i="1"/>
  <c r="C600" i="1"/>
  <c r="A601" i="1"/>
  <c r="B601" i="1"/>
  <c r="C601" i="1"/>
  <c r="A602" i="1"/>
  <c r="B602" i="1"/>
  <c r="C602" i="1"/>
  <c r="A603" i="1"/>
  <c r="B603" i="1"/>
  <c r="C603" i="1"/>
  <c r="A604" i="1"/>
  <c r="B604" i="1"/>
  <c r="C604" i="1"/>
  <c r="A605" i="1"/>
  <c r="B605" i="1"/>
  <c r="C605" i="1"/>
  <c r="A606" i="1"/>
  <c r="B606" i="1"/>
  <c r="C606" i="1"/>
  <c r="A607" i="1"/>
  <c r="B607" i="1"/>
  <c r="C607" i="1"/>
  <c r="A608" i="1"/>
  <c r="B608" i="1"/>
  <c r="C608" i="1"/>
  <c r="A609" i="1"/>
  <c r="B609" i="1"/>
  <c r="C609" i="1"/>
  <c r="A610" i="1"/>
  <c r="B610" i="1"/>
  <c r="C610" i="1"/>
  <c r="A611" i="1"/>
  <c r="B611" i="1"/>
  <c r="C611" i="1"/>
  <c r="A612" i="1"/>
  <c r="B612" i="1"/>
  <c r="C612" i="1"/>
  <c r="A613" i="1"/>
  <c r="B613" i="1"/>
  <c r="C613" i="1"/>
  <c r="A614" i="1"/>
  <c r="B614" i="1"/>
  <c r="C614" i="1"/>
  <c r="A615" i="1"/>
  <c r="B615" i="1"/>
  <c r="C615" i="1"/>
  <c r="A616" i="1"/>
  <c r="B616" i="1"/>
  <c r="C616" i="1"/>
  <c r="A617" i="1"/>
  <c r="B617" i="1"/>
  <c r="C617" i="1"/>
  <c r="A618" i="1"/>
  <c r="B618" i="1"/>
  <c r="C618" i="1"/>
  <c r="A619" i="1"/>
  <c r="B619" i="1"/>
  <c r="C619" i="1"/>
  <c r="A620" i="1"/>
  <c r="B620" i="1"/>
  <c r="C620" i="1"/>
  <c r="A621" i="1"/>
  <c r="B621" i="1"/>
  <c r="C621" i="1"/>
  <c r="A622" i="1"/>
  <c r="B622" i="1"/>
  <c r="C622" i="1"/>
  <c r="A623" i="1"/>
  <c r="B623" i="1"/>
  <c r="C623" i="1"/>
  <c r="A624" i="1"/>
  <c r="B624" i="1"/>
  <c r="C624" i="1"/>
  <c r="A625" i="1"/>
  <c r="B625" i="1"/>
  <c r="C625" i="1"/>
  <c r="A626" i="1"/>
  <c r="B626" i="1"/>
  <c r="C626" i="1"/>
  <c r="A627" i="1"/>
  <c r="B627" i="1"/>
  <c r="C627" i="1"/>
  <c r="A628" i="1"/>
  <c r="B628" i="1"/>
  <c r="C628" i="1"/>
  <c r="A629" i="1"/>
  <c r="B629" i="1"/>
  <c r="C629" i="1"/>
  <c r="A630" i="1"/>
  <c r="B630" i="1"/>
  <c r="C630" i="1"/>
  <c r="A631" i="1"/>
  <c r="B631" i="1"/>
  <c r="C631" i="1"/>
  <c r="A632" i="1"/>
  <c r="B632" i="1"/>
  <c r="C632" i="1"/>
  <c r="A633" i="1"/>
  <c r="B633" i="1"/>
  <c r="C633" i="1"/>
  <c r="A634" i="1"/>
  <c r="B634" i="1"/>
  <c r="C634" i="1"/>
  <c r="A635" i="1"/>
  <c r="B635" i="1"/>
  <c r="C635" i="1"/>
  <c r="A636" i="1"/>
  <c r="B636" i="1"/>
  <c r="C636" i="1"/>
  <c r="A637" i="1"/>
  <c r="B637" i="1"/>
  <c r="C637" i="1"/>
  <c r="A638" i="1"/>
  <c r="B638" i="1"/>
  <c r="C638" i="1"/>
  <c r="A639" i="1"/>
  <c r="B639" i="1"/>
  <c r="C639" i="1"/>
  <c r="A640" i="1"/>
  <c r="B640" i="1"/>
  <c r="C640" i="1"/>
  <c r="A641" i="1"/>
  <c r="B641" i="1"/>
  <c r="C641" i="1"/>
  <c r="A642" i="1"/>
  <c r="B642" i="1"/>
  <c r="C642" i="1"/>
  <c r="A643" i="1"/>
  <c r="B643" i="1"/>
  <c r="C643" i="1"/>
  <c r="A644" i="1"/>
  <c r="B644" i="1"/>
  <c r="C644" i="1"/>
  <c r="A645" i="1"/>
  <c r="B645" i="1"/>
  <c r="C645" i="1"/>
  <c r="A646" i="1"/>
  <c r="B646" i="1"/>
  <c r="C646" i="1"/>
  <c r="A647" i="1"/>
  <c r="B647" i="1"/>
  <c r="C647" i="1"/>
  <c r="A648" i="1"/>
  <c r="B648" i="1"/>
  <c r="C648" i="1"/>
  <c r="A649" i="1"/>
  <c r="B649" i="1"/>
  <c r="C649" i="1"/>
  <c r="A650" i="1"/>
  <c r="B650" i="1"/>
  <c r="C650" i="1"/>
  <c r="A651" i="1"/>
  <c r="B651" i="1"/>
  <c r="C651" i="1"/>
  <c r="A652" i="1"/>
  <c r="B652" i="1"/>
  <c r="C652" i="1"/>
  <c r="B653" i="1"/>
  <c r="C653" i="1"/>
  <c r="A654" i="1"/>
  <c r="B654" i="1"/>
  <c r="C654" i="1"/>
  <c r="A655" i="1"/>
  <c r="B655" i="1"/>
  <c r="C655" i="1"/>
  <c r="A656" i="1"/>
  <c r="B656" i="1"/>
  <c r="C656" i="1"/>
  <c r="A657" i="1"/>
  <c r="B657" i="1"/>
  <c r="C657" i="1"/>
  <c r="A658" i="1"/>
  <c r="B658" i="1"/>
  <c r="C658" i="1"/>
  <c r="A659" i="1"/>
  <c r="B659" i="1"/>
  <c r="C659" i="1"/>
  <c r="A660" i="1"/>
  <c r="B660" i="1"/>
  <c r="C660" i="1"/>
  <c r="A661" i="1"/>
  <c r="B661" i="1"/>
  <c r="C661" i="1"/>
  <c r="A662" i="1"/>
  <c r="B662" i="1"/>
  <c r="C662" i="1"/>
  <c r="A663" i="1"/>
  <c r="B663" i="1"/>
  <c r="C663" i="1"/>
  <c r="A664" i="1"/>
  <c r="B664" i="1"/>
  <c r="C664" i="1"/>
  <c r="A665" i="1"/>
  <c r="B665" i="1"/>
  <c r="C665" i="1"/>
  <c r="A666" i="1"/>
  <c r="B666" i="1"/>
  <c r="C666" i="1"/>
  <c r="A667" i="1"/>
  <c r="B667" i="1"/>
  <c r="C667" i="1"/>
  <c r="A668" i="1"/>
  <c r="B668" i="1"/>
  <c r="C668" i="1"/>
  <c r="A669" i="1"/>
  <c r="B669" i="1"/>
  <c r="C669" i="1"/>
  <c r="A670" i="1"/>
  <c r="B670" i="1"/>
  <c r="C670" i="1"/>
  <c r="A671" i="1"/>
  <c r="B671" i="1"/>
  <c r="C671" i="1"/>
  <c r="A672" i="1"/>
  <c r="B672" i="1"/>
  <c r="C672" i="1"/>
  <c r="A673" i="1"/>
  <c r="B673" i="1"/>
  <c r="C673" i="1"/>
  <c r="A674" i="1"/>
  <c r="B674" i="1"/>
  <c r="C674" i="1"/>
  <c r="A675" i="1"/>
  <c r="B675" i="1"/>
  <c r="C675" i="1"/>
  <c r="A676" i="1"/>
  <c r="B676" i="1"/>
  <c r="C676" i="1"/>
  <c r="A677" i="1"/>
  <c r="B677" i="1"/>
  <c r="C677" i="1"/>
  <c r="A678" i="1"/>
  <c r="B678" i="1"/>
  <c r="C678" i="1"/>
  <c r="A679" i="1"/>
  <c r="B679" i="1"/>
  <c r="C679" i="1"/>
  <c r="A680" i="1"/>
  <c r="B680" i="1"/>
  <c r="C680" i="1"/>
  <c r="A681" i="1"/>
  <c r="B681" i="1"/>
  <c r="C681" i="1"/>
  <c r="A682" i="1"/>
  <c r="B682" i="1"/>
  <c r="C682" i="1"/>
  <c r="A683" i="1"/>
  <c r="B683" i="1"/>
  <c r="C683" i="1"/>
  <c r="A684" i="1"/>
  <c r="B684" i="1"/>
  <c r="C684" i="1"/>
  <c r="A685" i="1"/>
  <c r="B685" i="1"/>
  <c r="C685" i="1"/>
  <c r="A686" i="1"/>
  <c r="B686" i="1"/>
  <c r="C686" i="1"/>
  <c r="A687" i="1"/>
  <c r="B687" i="1"/>
  <c r="C687" i="1"/>
  <c r="A688" i="1"/>
  <c r="B688" i="1"/>
  <c r="C688" i="1"/>
  <c r="A689" i="1"/>
  <c r="B689" i="1"/>
  <c r="C689" i="1"/>
  <c r="A690" i="1"/>
  <c r="B690" i="1"/>
  <c r="C690" i="1"/>
  <c r="A691" i="1"/>
  <c r="B691" i="1"/>
  <c r="C691" i="1"/>
  <c r="A692" i="1"/>
  <c r="B692" i="1"/>
  <c r="C692" i="1"/>
  <c r="A693" i="1"/>
  <c r="B693" i="1"/>
  <c r="C693" i="1"/>
  <c r="A694" i="1"/>
  <c r="B694" i="1"/>
  <c r="C694" i="1"/>
  <c r="A695" i="1"/>
  <c r="B695" i="1"/>
  <c r="C695" i="1"/>
  <c r="A696" i="1"/>
  <c r="B696" i="1"/>
  <c r="C696" i="1"/>
  <c r="A697" i="1"/>
  <c r="B697" i="1"/>
  <c r="C697" i="1"/>
  <c r="A698" i="1"/>
  <c r="B698" i="1"/>
  <c r="C698" i="1"/>
  <c r="A699" i="1"/>
  <c r="B699" i="1"/>
  <c r="C699" i="1"/>
  <c r="A700" i="1"/>
  <c r="B700" i="1"/>
  <c r="C700" i="1"/>
  <c r="A701" i="1"/>
  <c r="B701" i="1"/>
  <c r="C701" i="1"/>
  <c r="A702" i="1"/>
  <c r="B702" i="1"/>
  <c r="C702" i="1"/>
  <c r="A703" i="1"/>
  <c r="B703" i="1"/>
  <c r="C703" i="1"/>
  <c r="A704" i="1"/>
  <c r="B704" i="1"/>
  <c r="C704" i="1"/>
  <c r="A705" i="1"/>
  <c r="B705" i="1"/>
  <c r="C705" i="1"/>
  <c r="A706" i="1"/>
  <c r="B706" i="1"/>
  <c r="C706" i="1"/>
  <c r="A707" i="1"/>
  <c r="B707" i="1"/>
  <c r="C707" i="1"/>
  <c r="A708" i="1"/>
  <c r="B708" i="1"/>
  <c r="C708" i="1"/>
  <c r="A709" i="1"/>
  <c r="B709" i="1"/>
  <c r="C709" i="1"/>
  <c r="A710" i="1"/>
  <c r="B710" i="1"/>
  <c r="C710" i="1"/>
  <c r="A711" i="1"/>
  <c r="B711" i="1"/>
  <c r="C711" i="1"/>
  <c r="A712" i="1"/>
  <c r="B712" i="1"/>
  <c r="C712" i="1"/>
  <c r="A713" i="1"/>
  <c r="B713" i="1"/>
  <c r="C713" i="1"/>
  <c r="A714" i="1"/>
  <c r="B714" i="1"/>
  <c r="C714" i="1"/>
  <c r="A715" i="1"/>
  <c r="B715" i="1"/>
  <c r="C715" i="1"/>
  <c r="A716" i="1"/>
  <c r="B716" i="1"/>
  <c r="C716" i="1"/>
  <c r="A717" i="1"/>
  <c r="B717" i="1"/>
  <c r="C717" i="1"/>
  <c r="A718" i="1"/>
  <c r="B718" i="1"/>
  <c r="C718" i="1"/>
  <c r="A719" i="1"/>
  <c r="B719" i="1"/>
  <c r="C719" i="1"/>
  <c r="A720" i="1"/>
  <c r="B720" i="1"/>
  <c r="C720" i="1"/>
  <c r="A721" i="1"/>
  <c r="B721" i="1"/>
  <c r="C721" i="1"/>
  <c r="A722" i="1"/>
  <c r="B722" i="1"/>
  <c r="C722" i="1"/>
  <c r="A723" i="1"/>
  <c r="B723" i="1"/>
  <c r="C723" i="1"/>
  <c r="A724" i="1"/>
  <c r="B724" i="1"/>
  <c r="C724" i="1"/>
  <c r="A725" i="1"/>
  <c r="B725" i="1"/>
  <c r="C725" i="1"/>
  <c r="A726" i="1"/>
  <c r="B726" i="1"/>
  <c r="C726" i="1"/>
  <c r="A727" i="1"/>
  <c r="B727" i="1"/>
  <c r="C727" i="1"/>
  <c r="A728" i="1"/>
  <c r="B728" i="1"/>
  <c r="C728" i="1"/>
  <c r="A729" i="1"/>
  <c r="B729" i="1"/>
  <c r="C729" i="1"/>
  <c r="A730" i="1"/>
  <c r="B730" i="1"/>
  <c r="C730" i="1"/>
  <c r="A731" i="1"/>
  <c r="B731" i="1"/>
  <c r="C731" i="1"/>
  <c r="A732" i="1"/>
  <c r="B732" i="1"/>
  <c r="C732" i="1"/>
  <c r="A733" i="1"/>
  <c r="B733" i="1"/>
  <c r="C733" i="1"/>
  <c r="A734" i="1"/>
  <c r="B734" i="1"/>
  <c r="C734" i="1"/>
  <c r="A735" i="1"/>
  <c r="B735" i="1"/>
  <c r="C735" i="1"/>
  <c r="A736" i="1"/>
  <c r="B736" i="1"/>
  <c r="C736" i="1"/>
  <c r="A737" i="1"/>
  <c r="B737" i="1"/>
  <c r="C737" i="1"/>
  <c r="A738" i="1"/>
  <c r="B738" i="1"/>
  <c r="C738" i="1"/>
  <c r="A739" i="1"/>
  <c r="B739" i="1"/>
  <c r="C739" i="1"/>
  <c r="A740" i="1"/>
  <c r="B740" i="1"/>
  <c r="C740" i="1"/>
  <c r="A741" i="1"/>
  <c r="B741" i="1"/>
  <c r="C741" i="1"/>
  <c r="A742" i="1"/>
  <c r="B742" i="1"/>
  <c r="C742" i="1"/>
  <c r="A743" i="1"/>
  <c r="B743" i="1"/>
  <c r="C743" i="1"/>
  <c r="A744" i="1"/>
  <c r="B744" i="1"/>
  <c r="C744" i="1"/>
  <c r="A745" i="1"/>
  <c r="B745" i="1"/>
  <c r="C745" i="1"/>
  <c r="A746" i="1"/>
  <c r="B746" i="1"/>
  <c r="C746" i="1"/>
  <c r="A747" i="1"/>
  <c r="B747" i="1"/>
  <c r="C747" i="1"/>
  <c r="A748" i="1"/>
  <c r="B748" i="1"/>
  <c r="C748" i="1"/>
  <c r="A749" i="1"/>
  <c r="B749" i="1"/>
  <c r="C749" i="1"/>
  <c r="A750" i="1"/>
  <c r="B750" i="1"/>
  <c r="C750" i="1"/>
  <c r="A751" i="1"/>
  <c r="B751" i="1"/>
  <c r="C751" i="1"/>
  <c r="A752" i="1"/>
  <c r="B752" i="1"/>
  <c r="C752" i="1"/>
  <c r="A753" i="1"/>
  <c r="B753" i="1"/>
  <c r="C753" i="1"/>
  <c r="A754" i="1"/>
  <c r="B754" i="1"/>
  <c r="C754" i="1"/>
  <c r="A755" i="1"/>
  <c r="B755" i="1"/>
  <c r="C755" i="1"/>
  <c r="A756" i="1"/>
  <c r="B756" i="1"/>
  <c r="C756" i="1"/>
  <c r="A757" i="1"/>
  <c r="B757" i="1"/>
  <c r="C757" i="1"/>
  <c r="A758" i="1"/>
  <c r="B758" i="1"/>
  <c r="C758" i="1"/>
  <c r="A759" i="1"/>
  <c r="B759" i="1"/>
  <c r="C759" i="1"/>
  <c r="A760" i="1"/>
  <c r="B760" i="1"/>
  <c r="C760" i="1"/>
  <c r="A761" i="1"/>
  <c r="B761" i="1"/>
  <c r="C761" i="1"/>
  <c r="A762" i="1"/>
  <c r="B762" i="1"/>
  <c r="C762" i="1"/>
  <c r="A763" i="1"/>
  <c r="B763" i="1"/>
  <c r="C763" i="1"/>
  <c r="A764" i="1"/>
  <c r="B764" i="1"/>
  <c r="C764" i="1"/>
  <c r="A765" i="1"/>
  <c r="B765" i="1"/>
  <c r="C765" i="1"/>
  <c r="A766" i="1"/>
  <c r="B766" i="1"/>
  <c r="C766" i="1"/>
  <c r="A767" i="1"/>
  <c r="B767" i="1"/>
  <c r="C767" i="1"/>
  <c r="A768" i="1"/>
  <c r="B768" i="1"/>
  <c r="C768" i="1"/>
  <c r="A769" i="1"/>
  <c r="B769" i="1"/>
  <c r="C769" i="1"/>
  <c r="A770" i="1"/>
  <c r="B770" i="1"/>
  <c r="C770" i="1"/>
  <c r="A771" i="1"/>
  <c r="B771" i="1"/>
  <c r="C771" i="1"/>
  <c r="A772" i="1"/>
  <c r="B772" i="1"/>
  <c r="C772" i="1"/>
  <c r="A773" i="1"/>
  <c r="B773" i="1"/>
  <c r="C773" i="1"/>
  <c r="A774" i="1"/>
  <c r="B774" i="1"/>
  <c r="C774" i="1"/>
  <c r="A775" i="1"/>
  <c r="B775" i="1"/>
  <c r="C775" i="1"/>
  <c r="A776" i="1"/>
  <c r="B776" i="1"/>
  <c r="C776" i="1"/>
  <c r="A777" i="1"/>
  <c r="B777" i="1"/>
  <c r="C777" i="1"/>
  <c r="A778" i="1"/>
  <c r="B778" i="1"/>
  <c r="C778" i="1"/>
  <c r="A779" i="1"/>
  <c r="B779" i="1"/>
  <c r="C779" i="1"/>
  <c r="A780" i="1"/>
  <c r="B780" i="1"/>
  <c r="C780" i="1"/>
  <c r="A781" i="1"/>
  <c r="B781" i="1"/>
  <c r="C781" i="1"/>
  <c r="A782" i="1"/>
  <c r="B782" i="1"/>
  <c r="C782" i="1"/>
  <c r="A783" i="1"/>
  <c r="B783" i="1"/>
  <c r="C783" i="1"/>
  <c r="A784" i="1"/>
  <c r="B784" i="1"/>
  <c r="C784" i="1"/>
  <c r="A785" i="1"/>
  <c r="B785" i="1"/>
  <c r="C785" i="1"/>
  <c r="A786" i="1"/>
  <c r="B786" i="1"/>
  <c r="C786" i="1"/>
  <c r="A787" i="1"/>
  <c r="B787" i="1"/>
  <c r="C787" i="1"/>
  <c r="A788" i="1"/>
  <c r="B788" i="1"/>
  <c r="C788" i="1"/>
  <c r="A789" i="1"/>
  <c r="B789" i="1"/>
  <c r="C789" i="1"/>
  <c r="A790" i="1"/>
  <c r="B790" i="1"/>
  <c r="C790" i="1"/>
  <c r="A791" i="1"/>
  <c r="B791" i="1"/>
  <c r="C791" i="1"/>
  <c r="A792" i="1"/>
  <c r="B792" i="1"/>
  <c r="C792" i="1"/>
  <c r="A793" i="1"/>
  <c r="B793" i="1"/>
  <c r="C793" i="1"/>
  <c r="A794" i="1"/>
  <c r="B794" i="1"/>
  <c r="C794" i="1"/>
  <c r="A795" i="1"/>
  <c r="B795" i="1"/>
  <c r="C795" i="1"/>
  <c r="A796" i="1"/>
  <c r="B796" i="1"/>
  <c r="C796" i="1"/>
  <c r="A797" i="1"/>
  <c r="B797" i="1"/>
  <c r="C797" i="1"/>
  <c r="A798" i="1"/>
  <c r="B798" i="1"/>
  <c r="C798" i="1"/>
  <c r="A799" i="1"/>
  <c r="B799" i="1"/>
  <c r="C799" i="1"/>
  <c r="A800" i="1"/>
  <c r="B800" i="1"/>
  <c r="C800" i="1"/>
  <c r="A801" i="1"/>
  <c r="B801" i="1"/>
  <c r="C801" i="1"/>
  <c r="A802" i="1"/>
  <c r="B802" i="1"/>
  <c r="C802" i="1"/>
  <c r="A803" i="1"/>
  <c r="B803" i="1"/>
  <c r="C803" i="1"/>
  <c r="A804" i="1"/>
  <c r="B804" i="1"/>
  <c r="C804" i="1"/>
  <c r="A805" i="1"/>
  <c r="B805" i="1"/>
  <c r="C805" i="1"/>
  <c r="A806" i="1"/>
  <c r="B806" i="1"/>
  <c r="C806" i="1"/>
  <c r="A807" i="1"/>
  <c r="B807" i="1"/>
  <c r="C807" i="1"/>
  <c r="A808" i="1"/>
  <c r="B808" i="1"/>
  <c r="C808" i="1"/>
  <c r="A809" i="1"/>
  <c r="B809" i="1"/>
  <c r="C809" i="1"/>
  <c r="A810" i="1"/>
  <c r="B810" i="1"/>
  <c r="C810" i="1"/>
  <c r="A811" i="1"/>
  <c r="B811" i="1"/>
  <c r="C811" i="1"/>
  <c r="A812" i="1"/>
  <c r="B812" i="1"/>
  <c r="C812" i="1"/>
  <c r="A813" i="1"/>
  <c r="B813" i="1"/>
  <c r="C813" i="1"/>
  <c r="A814" i="1"/>
  <c r="B814" i="1"/>
  <c r="C814" i="1"/>
  <c r="A815" i="1"/>
  <c r="B815" i="1"/>
  <c r="C815" i="1"/>
  <c r="A816" i="1"/>
  <c r="B816" i="1"/>
  <c r="C816" i="1"/>
  <c r="A817" i="1"/>
  <c r="B817" i="1"/>
  <c r="C817" i="1"/>
  <c r="A818" i="1"/>
  <c r="B818" i="1"/>
  <c r="C818" i="1"/>
  <c r="A819" i="1"/>
  <c r="B819" i="1"/>
  <c r="C819" i="1"/>
  <c r="A820" i="1"/>
  <c r="B820" i="1"/>
  <c r="C820" i="1"/>
  <c r="A821" i="1"/>
  <c r="B821" i="1"/>
  <c r="C821" i="1"/>
  <c r="A822" i="1"/>
  <c r="B822" i="1"/>
  <c r="C822" i="1"/>
  <c r="A823" i="1"/>
  <c r="B823" i="1"/>
  <c r="C823" i="1"/>
  <c r="A824" i="1"/>
  <c r="B824" i="1"/>
  <c r="C824" i="1"/>
  <c r="A825" i="1"/>
  <c r="B825" i="1"/>
  <c r="C825" i="1"/>
  <c r="A826" i="1"/>
  <c r="B826" i="1"/>
  <c r="C826" i="1"/>
  <c r="A827" i="1"/>
  <c r="B827" i="1"/>
  <c r="C827" i="1"/>
  <c r="A828" i="1"/>
  <c r="B828" i="1"/>
  <c r="C828" i="1"/>
  <c r="A829" i="1"/>
  <c r="B829" i="1"/>
  <c r="C829" i="1"/>
  <c r="A830" i="1"/>
  <c r="B830" i="1"/>
  <c r="C830" i="1"/>
  <c r="A831" i="1"/>
  <c r="B831" i="1"/>
  <c r="C831" i="1"/>
  <c r="A832" i="1"/>
  <c r="B832" i="1"/>
  <c r="C832" i="1"/>
  <c r="A833" i="1"/>
  <c r="B833" i="1"/>
  <c r="C833" i="1"/>
  <c r="A834" i="1"/>
  <c r="B834" i="1"/>
  <c r="C834" i="1"/>
  <c r="A835" i="1"/>
  <c r="B835" i="1"/>
  <c r="C835" i="1"/>
  <c r="A836" i="1"/>
  <c r="B836" i="1"/>
  <c r="C836" i="1"/>
  <c r="A837" i="1"/>
  <c r="B837" i="1"/>
  <c r="C837" i="1"/>
  <c r="A838" i="1"/>
  <c r="B838" i="1"/>
  <c r="C838" i="1"/>
  <c r="A839" i="1"/>
  <c r="B839" i="1"/>
  <c r="C839" i="1"/>
  <c r="A840" i="1"/>
  <c r="B840" i="1"/>
  <c r="C840" i="1"/>
  <c r="A841" i="1"/>
  <c r="B841" i="1"/>
  <c r="C841" i="1"/>
  <c r="A842" i="1"/>
  <c r="B842" i="1"/>
  <c r="C842" i="1"/>
  <c r="A843" i="1"/>
  <c r="B843" i="1"/>
  <c r="C843" i="1"/>
  <c r="A844" i="1"/>
  <c r="B844" i="1"/>
  <c r="C844" i="1"/>
  <c r="A845" i="1"/>
  <c r="B845" i="1"/>
  <c r="C845" i="1"/>
  <c r="A846" i="1"/>
  <c r="B846" i="1"/>
  <c r="C846" i="1"/>
  <c r="A847" i="1"/>
  <c r="B847" i="1"/>
  <c r="C847" i="1"/>
  <c r="A848" i="1"/>
  <c r="B848" i="1"/>
  <c r="C848" i="1"/>
  <c r="A849" i="1"/>
  <c r="B849" i="1"/>
  <c r="C849" i="1"/>
  <c r="A850" i="1"/>
  <c r="B850" i="1"/>
  <c r="C850" i="1"/>
  <c r="A851" i="1"/>
  <c r="B851" i="1"/>
  <c r="C851" i="1"/>
  <c r="A852" i="1"/>
  <c r="B852" i="1"/>
  <c r="C852" i="1"/>
  <c r="A853" i="1"/>
  <c r="B853" i="1"/>
  <c r="C853" i="1"/>
  <c r="A854" i="1"/>
  <c r="B854" i="1"/>
  <c r="C854" i="1"/>
  <c r="A855" i="1"/>
  <c r="B855" i="1"/>
  <c r="C855" i="1"/>
  <c r="A856" i="1"/>
  <c r="B856" i="1"/>
  <c r="C856" i="1"/>
  <c r="A857" i="1"/>
  <c r="B857" i="1"/>
  <c r="C857" i="1"/>
  <c r="A858" i="1"/>
  <c r="B858" i="1"/>
  <c r="C858" i="1"/>
  <c r="A859" i="1"/>
  <c r="B859" i="1"/>
  <c r="C859" i="1"/>
  <c r="A860" i="1"/>
  <c r="B860" i="1"/>
  <c r="C860" i="1"/>
  <c r="A861" i="1"/>
  <c r="B861" i="1"/>
  <c r="C861" i="1"/>
  <c r="A862" i="1"/>
  <c r="B862" i="1"/>
  <c r="C862" i="1"/>
  <c r="A863" i="1"/>
  <c r="B863" i="1"/>
  <c r="C863" i="1"/>
  <c r="A864" i="1"/>
  <c r="B864" i="1"/>
  <c r="C864" i="1"/>
  <c r="A865" i="1"/>
  <c r="B865" i="1"/>
  <c r="C865" i="1"/>
  <c r="A866" i="1"/>
  <c r="B866" i="1"/>
  <c r="C866" i="1"/>
  <c r="A867" i="1"/>
  <c r="B867" i="1"/>
  <c r="C867" i="1"/>
  <c r="A868" i="1"/>
  <c r="B868" i="1"/>
  <c r="C868" i="1"/>
  <c r="A869" i="1"/>
  <c r="B869" i="1"/>
  <c r="C869" i="1"/>
  <c r="A870" i="1"/>
  <c r="B870" i="1"/>
  <c r="C870" i="1"/>
  <c r="A871" i="1"/>
  <c r="B871" i="1"/>
  <c r="C871" i="1"/>
  <c r="A872" i="1"/>
  <c r="B872" i="1"/>
  <c r="C872" i="1"/>
  <c r="A873" i="1"/>
  <c r="B873" i="1"/>
  <c r="C873" i="1"/>
  <c r="A874" i="1"/>
  <c r="B874" i="1"/>
  <c r="C874" i="1"/>
  <c r="A875" i="1"/>
  <c r="B875" i="1"/>
  <c r="C875" i="1"/>
  <c r="A876" i="1"/>
  <c r="B876" i="1"/>
  <c r="C876" i="1"/>
  <c r="A877" i="1"/>
  <c r="B877" i="1"/>
  <c r="C877" i="1"/>
  <c r="A878" i="1"/>
  <c r="B878" i="1"/>
  <c r="C878" i="1"/>
  <c r="A879" i="1"/>
  <c r="B879" i="1"/>
  <c r="C879" i="1"/>
  <c r="A880" i="1"/>
  <c r="B880" i="1"/>
  <c r="C880" i="1"/>
  <c r="A881" i="1"/>
  <c r="B881" i="1"/>
  <c r="C881" i="1"/>
  <c r="A882" i="1"/>
  <c r="B882" i="1"/>
  <c r="C882" i="1"/>
  <c r="A883" i="1"/>
  <c r="B883" i="1"/>
  <c r="C883" i="1"/>
  <c r="A884" i="1"/>
  <c r="B884" i="1"/>
  <c r="C884" i="1"/>
  <c r="A885" i="1"/>
  <c r="B885" i="1"/>
  <c r="C885" i="1"/>
  <c r="A886" i="1"/>
  <c r="B886" i="1"/>
  <c r="C886" i="1"/>
  <c r="A887" i="1"/>
  <c r="B887" i="1"/>
  <c r="C887" i="1"/>
  <c r="A888" i="1"/>
  <c r="B888" i="1"/>
  <c r="C888" i="1"/>
  <c r="A889" i="1"/>
  <c r="B889" i="1"/>
  <c r="C889" i="1"/>
  <c r="A890" i="1"/>
  <c r="B890" i="1"/>
  <c r="C890" i="1"/>
  <c r="A891" i="1"/>
  <c r="B891" i="1"/>
  <c r="C891" i="1"/>
  <c r="A892" i="1"/>
  <c r="B892" i="1"/>
  <c r="C892" i="1"/>
  <c r="A893" i="1"/>
  <c r="B893" i="1"/>
  <c r="C893" i="1"/>
  <c r="A894" i="1"/>
  <c r="B894" i="1"/>
  <c r="C894" i="1"/>
  <c r="A895" i="1"/>
  <c r="B895" i="1"/>
  <c r="C895" i="1"/>
  <c r="A896" i="1"/>
  <c r="B896" i="1"/>
  <c r="C896" i="1"/>
  <c r="A897" i="1"/>
  <c r="B897" i="1"/>
  <c r="C897" i="1"/>
  <c r="A898" i="1"/>
  <c r="B898" i="1"/>
  <c r="C898" i="1"/>
  <c r="A899" i="1"/>
  <c r="B899" i="1"/>
  <c r="C899" i="1"/>
  <c r="A900" i="1"/>
  <c r="B900" i="1"/>
  <c r="C900" i="1"/>
  <c r="A901" i="1"/>
  <c r="B901" i="1"/>
  <c r="C901" i="1"/>
  <c r="A902" i="1"/>
  <c r="B902" i="1"/>
  <c r="C902" i="1"/>
  <c r="A903" i="1"/>
  <c r="B903" i="1"/>
  <c r="C903" i="1"/>
  <c r="A904" i="1"/>
  <c r="B904" i="1"/>
  <c r="C904" i="1"/>
  <c r="A905" i="1"/>
  <c r="B905" i="1"/>
  <c r="C905" i="1"/>
  <c r="A906" i="1"/>
  <c r="B906" i="1"/>
  <c r="C906" i="1"/>
  <c r="A907" i="1"/>
  <c r="B907" i="1"/>
  <c r="C907" i="1"/>
  <c r="A908" i="1"/>
  <c r="B908" i="1"/>
  <c r="C908" i="1"/>
  <c r="A909" i="1"/>
  <c r="B909" i="1"/>
  <c r="C909" i="1"/>
  <c r="A910" i="1"/>
  <c r="B910" i="1"/>
  <c r="C910" i="1"/>
  <c r="A911" i="1"/>
  <c r="B911" i="1"/>
  <c r="C911" i="1"/>
  <c r="A912" i="1"/>
  <c r="B912" i="1"/>
  <c r="C912" i="1"/>
  <c r="A913" i="1"/>
  <c r="B913" i="1"/>
  <c r="C913" i="1"/>
  <c r="A914" i="1"/>
  <c r="B914" i="1"/>
  <c r="C914" i="1"/>
  <c r="A915" i="1"/>
  <c r="B915" i="1"/>
  <c r="C915" i="1"/>
  <c r="A916" i="1"/>
  <c r="B916" i="1"/>
  <c r="C916" i="1"/>
  <c r="A917" i="1"/>
  <c r="B917" i="1"/>
  <c r="C917" i="1"/>
  <c r="A918" i="1"/>
  <c r="B918" i="1"/>
  <c r="C918" i="1"/>
  <c r="A919" i="1"/>
  <c r="B919" i="1"/>
  <c r="C919" i="1"/>
  <c r="A920" i="1"/>
  <c r="B920" i="1"/>
  <c r="C920" i="1"/>
  <c r="A921" i="1"/>
  <c r="B921" i="1"/>
  <c r="C921" i="1"/>
  <c r="A922" i="1"/>
  <c r="B922" i="1"/>
  <c r="C922" i="1"/>
  <c r="A923" i="1"/>
  <c r="B923" i="1"/>
  <c r="C923" i="1"/>
  <c r="A924" i="1"/>
  <c r="B924" i="1"/>
  <c r="C924" i="1"/>
  <c r="A925" i="1"/>
  <c r="B925" i="1"/>
  <c r="C925" i="1"/>
  <c r="A926" i="1"/>
  <c r="B926" i="1"/>
  <c r="C926" i="1"/>
  <c r="A927" i="1"/>
  <c r="B927" i="1"/>
  <c r="C927" i="1"/>
  <c r="A928" i="1"/>
  <c r="B928" i="1"/>
  <c r="C928" i="1"/>
  <c r="A929" i="1"/>
  <c r="B929" i="1"/>
  <c r="C929" i="1"/>
  <c r="A930" i="1"/>
  <c r="B930" i="1"/>
  <c r="C930" i="1"/>
  <c r="A931" i="1"/>
  <c r="B931" i="1"/>
  <c r="C931" i="1"/>
  <c r="A932" i="1"/>
  <c r="B932" i="1"/>
  <c r="C932" i="1"/>
  <c r="A933" i="1"/>
  <c r="B933" i="1"/>
  <c r="C933" i="1"/>
  <c r="A934" i="1"/>
  <c r="B934" i="1"/>
  <c r="C934" i="1"/>
  <c r="A935" i="1"/>
  <c r="B935" i="1"/>
  <c r="C935" i="1"/>
  <c r="A936" i="1"/>
  <c r="B936" i="1"/>
  <c r="C936" i="1"/>
  <c r="A937" i="1"/>
  <c r="B937" i="1"/>
  <c r="C937" i="1"/>
  <c r="A938" i="1"/>
  <c r="B938" i="1"/>
  <c r="C938" i="1"/>
  <c r="A939" i="1"/>
  <c r="B939" i="1"/>
  <c r="C939" i="1"/>
  <c r="A940" i="1"/>
  <c r="B940" i="1"/>
  <c r="C940" i="1"/>
  <c r="A941" i="1"/>
  <c r="B941" i="1"/>
  <c r="C941" i="1"/>
  <c r="A942" i="1"/>
  <c r="B942" i="1"/>
  <c r="C942" i="1"/>
  <c r="A943" i="1"/>
  <c r="B943" i="1"/>
  <c r="C943" i="1"/>
  <c r="A944" i="1"/>
  <c r="B944" i="1"/>
  <c r="C944" i="1"/>
  <c r="A945" i="1"/>
  <c r="B945" i="1"/>
  <c r="C945" i="1"/>
  <c r="A946" i="1"/>
  <c r="B946" i="1"/>
  <c r="C946" i="1"/>
  <c r="A947" i="1"/>
  <c r="B947" i="1"/>
  <c r="C947" i="1"/>
  <c r="A948" i="1"/>
  <c r="B948" i="1"/>
  <c r="C948" i="1"/>
  <c r="A949" i="1"/>
  <c r="B949" i="1"/>
  <c r="C949" i="1"/>
  <c r="A950" i="1"/>
  <c r="B950" i="1"/>
  <c r="C950" i="1"/>
  <c r="A951" i="1"/>
  <c r="B951" i="1"/>
  <c r="C951" i="1"/>
  <c r="A952" i="1"/>
  <c r="B952" i="1"/>
  <c r="C952" i="1"/>
  <c r="A953" i="1"/>
  <c r="B953" i="1"/>
  <c r="C953" i="1"/>
  <c r="A954" i="1"/>
  <c r="B954" i="1"/>
  <c r="C954" i="1"/>
  <c r="A955" i="1"/>
  <c r="B955" i="1"/>
  <c r="C955" i="1"/>
  <c r="A956" i="1"/>
  <c r="B956" i="1"/>
  <c r="C956" i="1"/>
  <c r="A957" i="1"/>
  <c r="B957" i="1"/>
  <c r="C957" i="1"/>
  <c r="A958" i="1"/>
  <c r="B958" i="1"/>
  <c r="C958" i="1"/>
  <c r="A959" i="1"/>
  <c r="B959" i="1"/>
  <c r="C959" i="1"/>
  <c r="A960" i="1"/>
  <c r="B960" i="1"/>
  <c r="C960" i="1"/>
  <c r="A961" i="1"/>
  <c r="B961" i="1"/>
  <c r="C961" i="1"/>
  <c r="A962" i="1"/>
  <c r="B962" i="1"/>
  <c r="C962" i="1"/>
  <c r="A963" i="1"/>
  <c r="B963" i="1"/>
  <c r="C963" i="1"/>
  <c r="A964" i="1"/>
  <c r="B964" i="1"/>
  <c r="C964" i="1"/>
  <c r="A965" i="1"/>
  <c r="B965" i="1"/>
  <c r="C965" i="1"/>
  <c r="A966" i="1"/>
  <c r="B966" i="1"/>
  <c r="C966" i="1"/>
  <c r="A967" i="1"/>
  <c r="B967" i="1"/>
  <c r="C967" i="1"/>
  <c r="A968" i="1"/>
  <c r="B968" i="1"/>
  <c r="C968" i="1"/>
  <c r="A969" i="1"/>
  <c r="B969" i="1"/>
  <c r="C969" i="1"/>
  <c r="A970" i="1"/>
  <c r="B970" i="1"/>
  <c r="C970" i="1"/>
  <c r="A971" i="1"/>
  <c r="B971" i="1"/>
  <c r="C971" i="1"/>
  <c r="A972" i="1"/>
  <c r="B972" i="1"/>
  <c r="C972" i="1"/>
  <c r="A973" i="1"/>
  <c r="B973" i="1"/>
  <c r="C973" i="1"/>
  <c r="A974" i="1"/>
  <c r="B974" i="1"/>
  <c r="C974" i="1"/>
  <c r="A975" i="1"/>
  <c r="B975" i="1"/>
  <c r="C975" i="1"/>
  <c r="A976" i="1"/>
  <c r="B976" i="1"/>
  <c r="C976" i="1"/>
  <c r="A977" i="1"/>
  <c r="B977" i="1"/>
  <c r="C977" i="1"/>
  <c r="A978" i="1"/>
  <c r="B978" i="1"/>
  <c r="C978" i="1"/>
  <c r="A979" i="1"/>
  <c r="B979" i="1"/>
  <c r="C979" i="1"/>
  <c r="A980" i="1"/>
  <c r="B980" i="1"/>
  <c r="C980" i="1"/>
  <c r="A981" i="1"/>
  <c r="B981" i="1"/>
  <c r="C981" i="1"/>
  <c r="A982" i="1"/>
  <c r="B982" i="1"/>
  <c r="C982" i="1"/>
  <c r="A983" i="1"/>
  <c r="B983" i="1"/>
  <c r="C983" i="1"/>
  <c r="A984" i="1"/>
  <c r="B984" i="1"/>
  <c r="C984" i="1"/>
  <c r="A985" i="1"/>
  <c r="B985" i="1"/>
  <c r="C985" i="1"/>
  <c r="A986" i="1"/>
  <c r="B986" i="1"/>
  <c r="C986" i="1"/>
  <c r="A987" i="1"/>
  <c r="B987" i="1"/>
  <c r="C987" i="1"/>
  <c r="A988" i="1"/>
  <c r="B988" i="1"/>
  <c r="C988" i="1"/>
  <c r="A989" i="1"/>
  <c r="B989" i="1"/>
  <c r="C989" i="1"/>
  <c r="A990" i="1"/>
  <c r="B990" i="1"/>
  <c r="C990" i="1"/>
  <c r="A991" i="1"/>
  <c r="B991" i="1"/>
  <c r="C991" i="1"/>
  <c r="A992" i="1"/>
  <c r="B992" i="1"/>
  <c r="C992" i="1"/>
  <c r="A993" i="1"/>
  <c r="B993" i="1"/>
  <c r="C993" i="1"/>
  <c r="A994" i="1"/>
  <c r="B994" i="1"/>
  <c r="C994" i="1"/>
  <c r="A995" i="1"/>
  <c r="B995" i="1"/>
  <c r="C995" i="1"/>
  <c r="A996" i="1"/>
  <c r="B996" i="1"/>
  <c r="C996" i="1"/>
  <c r="A997" i="1"/>
  <c r="B997" i="1"/>
  <c r="C997" i="1"/>
  <c r="A998" i="1"/>
  <c r="B998" i="1"/>
  <c r="C998" i="1"/>
  <c r="A999" i="1"/>
  <c r="B999" i="1"/>
  <c r="C999" i="1"/>
  <c r="A1000" i="1"/>
  <c r="B1000" i="1"/>
  <c r="C1000" i="1"/>
  <c r="A1001" i="1"/>
  <c r="B1001" i="1"/>
  <c r="C1001" i="1"/>
  <c r="A1002" i="1"/>
  <c r="B1002" i="1"/>
  <c r="C1002" i="1"/>
  <c r="A1003" i="1"/>
  <c r="B1003" i="1"/>
  <c r="C1003" i="1"/>
  <c r="A1004" i="1"/>
  <c r="B1004" i="1"/>
  <c r="C1004" i="1"/>
  <c r="A1005" i="1"/>
  <c r="B1005" i="1"/>
  <c r="C1005" i="1"/>
  <c r="A1006" i="1"/>
  <c r="B1006" i="1"/>
  <c r="C1006" i="1"/>
  <c r="A1007" i="1"/>
  <c r="B1007" i="1"/>
  <c r="C1007" i="1"/>
  <c r="A1008" i="1"/>
  <c r="B1008" i="1"/>
  <c r="C1008" i="1"/>
  <c r="A1009" i="1"/>
  <c r="B1009" i="1"/>
  <c r="C1009" i="1"/>
  <c r="A1010" i="1"/>
  <c r="B1010" i="1"/>
  <c r="C1010" i="1"/>
  <c r="A1011" i="1"/>
  <c r="B1011" i="1"/>
  <c r="C1011" i="1"/>
  <c r="A1012" i="1"/>
  <c r="B1012" i="1"/>
  <c r="C1012" i="1"/>
  <c r="A1013" i="1"/>
  <c r="B1013" i="1"/>
  <c r="C1013" i="1"/>
  <c r="A1014" i="1"/>
  <c r="B1014" i="1"/>
  <c r="C1014" i="1"/>
  <c r="A1015" i="1"/>
  <c r="B1015" i="1"/>
  <c r="C1015" i="1"/>
  <c r="A1016" i="1"/>
  <c r="B1016" i="1"/>
  <c r="C1016" i="1"/>
  <c r="A1017" i="1"/>
  <c r="B1017" i="1"/>
  <c r="C1017" i="1"/>
  <c r="A1018" i="1"/>
  <c r="B1018" i="1"/>
  <c r="C1018" i="1"/>
  <c r="A1019" i="1"/>
  <c r="B1019" i="1"/>
  <c r="C1019" i="1"/>
  <c r="A1020" i="1"/>
  <c r="B1020" i="1"/>
  <c r="C1020" i="1"/>
  <c r="A1021" i="1"/>
  <c r="B1021" i="1"/>
  <c r="C1021" i="1"/>
  <c r="A1022" i="1"/>
  <c r="B1022" i="1"/>
  <c r="C1022" i="1"/>
  <c r="A1023" i="1"/>
  <c r="B1023" i="1"/>
  <c r="C1023" i="1"/>
  <c r="A1024" i="1"/>
  <c r="B1024" i="1"/>
  <c r="C1024" i="1"/>
  <c r="A1025" i="1"/>
  <c r="B1025" i="1"/>
  <c r="C1025" i="1"/>
  <c r="A1026" i="1"/>
  <c r="B1026" i="1"/>
  <c r="C1026" i="1"/>
  <c r="A1027" i="1"/>
  <c r="B1027" i="1"/>
  <c r="C1027" i="1"/>
  <c r="A1028" i="1"/>
  <c r="B1028" i="1"/>
  <c r="C1028" i="1"/>
  <c r="A1029" i="1"/>
  <c r="B1029" i="1"/>
  <c r="C1029" i="1"/>
  <c r="A1030" i="1"/>
  <c r="B1030" i="1"/>
  <c r="C1030" i="1"/>
  <c r="A1031" i="1"/>
  <c r="B1031" i="1"/>
  <c r="C1031" i="1"/>
  <c r="A1032" i="1"/>
  <c r="B1032" i="1"/>
  <c r="C1032" i="1"/>
  <c r="A1033" i="1"/>
  <c r="B1033" i="1"/>
  <c r="C1033" i="1"/>
  <c r="A1034" i="1"/>
  <c r="B1034" i="1"/>
  <c r="C1034" i="1"/>
  <c r="A1035" i="1"/>
  <c r="B1035" i="1"/>
  <c r="C1035" i="1"/>
  <c r="A1036" i="1"/>
  <c r="B1036" i="1"/>
  <c r="C1036" i="1"/>
  <c r="A1037" i="1"/>
  <c r="B1037" i="1"/>
  <c r="C1037" i="1"/>
  <c r="A1038" i="1"/>
  <c r="B1038" i="1"/>
  <c r="C1038" i="1"/>
  <c r="A1039" i="1"/>
  <c r="B1039" i="1"/>
  <c r="C1039" i="1"/>
  <c r="A1040" i="1"/>
  <c r="B1040" i="1"/>
  <c r="C1040" i="1"/>
  <c r="A1041" i="1"/>
  <c r="B1041" i="1"/>
  <c r="C1041" i="1"/>
  <c r="A1042" i="1"/>
  <c r="B1042" i="1"/>
  <c r="C1042" i="1"/>
  <c r="A1043" i="1"/>
  <c r="B1043" i="1"/>
  <c r="C1043" i="1"/>
  <c r="A1044" i="1"/>
  <c r="B1044" i="1"/>
  <c r="C1044" i="1"/>
  <c r="A1045" i="1"/>
  <c r="B1045" i="1"/>
  <c r="C1045" i="1"/>
  <c r="A1046" i="1"/>
  <c r="B1046" i="1"/>
  <c r="C1046" i="1"/>
  <c r="A1047" i="1"/>
  <c r="B1047" i="1"/>
  <c r="C1047" i="1"/>
  <c r="A1048" i="1"/>
  <c r="B1048" i="1"/>
  <c r="C1048" i="1"/>
  <c r="A1049" i="1"/>
  <c r="B1049" i="1"/>
  <c r="C1049" i="1"/>
  <c r="A1050" i="1"/>
  <c r="B1050" i="1"/>
  <c r="C1050" i="1"/>
  <c r="A1051" i="1"/>
  <c r="B1051" i="1"/>
  <c r="C1051" i="1"/>
  <c r="A1052" i="1"/>
  <c r="B1052" i="1"/>
  <c r="C1052" i="1"/>
  <c r="A1053" i="1"/>
  <c r="B1053" i="1"/>
  <c r="C1053" i="1"/>
  <c r="A1054" i="1"/>
  <c r="B1054" i="1"/>
  <c r="C1054" i="1"/>
  <c r="A1055" i="1"/>
  <c r="B1055" i="1"/>
  <c r="C1055" i="1"/>
  <c r="A1056" i="1"/>
  <c r="B1056" i="1"/>
  <c r="C1056" i="1"/>
  <c r="A1057" i="1"/>
  <c r="B1057" i="1"/>
  <c r="C1057" i="1"/>
  <c r="A1058" i="1"/>
  <c r="B1058" i="1"/>
  <c r="C1058" i="1"/>
  <c r="A1059" i="1"/>
  <c r="B1059" i="1"/>
  <c r="C1059" i="1"/>
  <c r="A1060" i="1"/>
  <c r="B1060" i="1"/>
  <c r="C1060" i="1"/>
  <c r="A1061" i="1"/>
  <c r="B1061" i="1"/>
  <c r="C1061" i="1"/>
  <c r="A1062" i="1"/>
  <c r="B1062" i="1"/>
  <c r="C1062" i="1"/>
  <c r="A1063" i="1"/>
  <c r="B1063" i="1"/>
  <c r="C1063" i="1"/>
  <c r="A1064" i="1"/>
  <c r="B1064" i="1"/>
  <c r="C1064" i="1"/>
  <c r="A1065" i="1"/>
  <c r="B1065" i="1"/>
  <c r="C1065" i="1"/>
  <c r="A1066" i="1"/>
  <c r="B1066" i="1"/>
  <c r="C1066" i="1"/>
  <c r="A1067" i="1"/>
  <c r="B1067" i="1"/>
  <c r="C1067" i="1"/>
  <c r="A1068" i="1"/>
  <c r="B1068" i="1"/>
  <c r="C1068" i="1"/>
  <c r="A1069" i="1"/>
  <c r="B1069" i="1"/>
  <c r="C1069" i="1"/>
  <c r="A1070" i="1"/>
  <c r="B1070" i="1"/>
  <c r="C1070" i="1"/>
  <c r="A1071" i="1"/>
  <c r="B1071" i="1"/>
  <c r="C1071" i="1"/>
  <c r="A1072" i="1"/>
  <c r="B1072" i="1"/>
  <c r="C1072" i="1"/>
  <c r="A1073" i="1"/>
  <c r="B1073" i="1"/>
  <c r="C1073" i="1"/>
  <c r="A1074" i="1"/>
  <c r="B1074" i="1"/>
  <c r="C1074" i="1"/>
  <c r="A1075" i="1"/>
  <c r="B1075" i="1"/>
  <c r="C1075" i="1"/>
  <c r="A1076" i="1"/>
  <c r="B1076" i="1"/>
  <c r="C1076" i="1"/>
  <c r="A1077" i="1"/>
  <c r="B1077" i="1"/>
  <c r="C1077" i="1"/>
  <c r="A1078" i="1"/>
  <c r="B1078" i="1"/>
  <c r="C1078" i="1"/>
  <c r="A1079" i="1"/>
  <c r="B1079" i="1"/>
  <c r="C1079" i="1"/>
  <c r="A1080" i="1"/>
  <c r="B1080" i="1"/>
  <c r="C1080" i="1"/>
  <c r="A1081" i="1"/>
  <c r="B1081" i="1"/>
  <c r="C1081" i="1"/>
  <c r="A1082" i="1"/>
  <c r="B1082" i="1"/>
  <c r="C1082" i="1"/>
  <c r="A1083" i="1"/>
  <c r="B1083" i="1"/>
  <c r="C1083" i="1"/>
  <c r="A1084" i="1"/>
  <c r="B1084" i="1"/>
  <c r="C1084" i="1"/>
  <c r="A1085" i="1"/>
  <c r="B1085" i="1"/>
  <c r="C1085" i="1"/>
  <c r="A1086" i="1"/>
  <c r="B1086" i="1"/>
  <c r="C1086" i="1"/>
  <c r="A1087" i="1"/>
  <c r="B1087" i="1"/>
  <c r="C1087" i="1"/>
  <c r="A1088" i="1"/>
  <c r="B1088" i="1"/>
  <c r="C1088" i="1"/>
  <c r="A1089" i="1"/>
  <c r="B1089" i="1"/>
  <c r="C1089" i="1"/>
  <c r="A1090" i="1"/>
  <c r="B1090" i="1"/>
  <c r="C1090" i="1"/>
  <c r="A1091" i="1"/>
  <c r="B1091" i="1"/>
  <c r="C1091" i="1"/>
  <c r="A1092" i="1"/>
  <c r="B1092" i="1"/>
  <c r="C1092" i="1"/>
  <c r="A1093" i="1"/>
  <c r="B1093" i="1"/>
  <c r="C1093" i="1"/>
  <c r="A1094" i="1"/>
  <c r="B1094" i="1"/>
  <c r="C1094" i="1"/>
  <c r="A1095" i="1"/>
  <c r="B1095" i="1"/>
  <c r="C1095" i="1"/>
  <c r="A1096" i="1"/>
  <c r="B1096" i="1"/>
  <c r="C1096" i="1"/>
  <c r="A1097" i="1"/>
  <c r="B1097" i="1"/>
  <c r="C1097" i="1"/>
  <c r="A1098" i="1"/>
  <c r="B1098" i="1"/>
  <c r="C1098" i="1"/>
  <c r="A1099" i="1"/>
  <c r="B1099" i="1"/>
  <c r="C1099" i="1"/>
  <c r="A1100" i="1"/>
  <c r="B1100" i="1"/>
  <c r="C1100" i="1"/>
  <c r="A1101" i="1"/>
  <c r="B1101" i="1"/>
  <c r="C1101" i="1"/>
  <c r="A1102" i="1"/>
  <c r="B1102" i="1"/>
  <c r="C1102" i="1"/>
  <c r="A1103" i="1"/>
  <c r="B1103" i="1"/>
  <c r="C1103" i="1"/>
  <c r="A1104" i="1"/>
  <c r="B1104" i="1"/>
  <c r="C1104" i="1"/>
  <c r="A1105" i="1"/>
  <c r="B1105" i="1"/>
  <c r="C1105" i="1"/>
  <c r="A1106" i="1"/>
  <c r="B1106" i="1"/>
  <c r="C1106" i="1"/>
  <c r="A1107" i="1"/>
  <c r="B1107" i="1"/>
  <c r="C1107" i="1"/>
  <c r="A1108" i="1"/>
  <c r="B1108" i="1"/>
  <c r="C1108" i="1"/>
  <c r="A1109" i="1"/>
  <c r="B1109" i="1"/>
  <c r="C1109" i="1"/>
  <c r="A1110" i="1"/>
  <c r="B1110" i="1"/>
  <c r="C1110" i="1"/>
  <c r="A1111" i="1"/>
  <c r="B1111" i="1"/>
  <c r="C1111" i="1"/>
  <c r="A1112" i="1"/>
  <c r="B1112" i="1"/>
  <c r="C1112" i="1"/>
  <c r="A1113" i="1"/>
  <c r="B1113" i="1"/>
  <c r="C1113" i="1"/>
  <c r="A1114" i="1"/>
  <c r="B1114" i="1"/>
  <c r="C1114" i="1"/>
  <c r="A1115" i="1"/>
  <c r="B1115" i="1"/>
  <c r="C1115" i="1"/>
  <c r="A1116" i="1"/>
  <c r="B1116" i="1"/>
  <c r="C1116" i="1"/>
  <c r="A1117" i="1"/>
  <c r="B1117" i="1"/>
  <c r="C1117" i="1"/>
  <c r="A1118" i="1"/>
  <c r="B1118" i="1"/>
  <c r="C1118" i="1"/>
  <c r="A1119" i="1"/>
  <c r="B1119" i="1"/>
  <c r="C1119" i="1"/>
  <c r="A1120" i="1"/>
  <c r="B1120" i="1"/>
  <c r="C1120" i="1"/>
  <c r="A1121" i="1"/>
  <c r="B1121" i="1"/>
  <c r="C1121" i="1"/>
  <c r="A1122" i="1"/>
  <c r="B1122" i="1"/>
  <c r="C1122" i="1"/>
  <c r="A1123" i="1"/>
  <c r="B1123" i="1"/>
  <c r="C1123" i="1"/>
  <c r="A1124" i="1"/>
  <c r="B1124" i="1"/>
  <c r="C1124" i="1"/>
  <c r="A1125" i="1"/>
  <c r="B1125" i="1"/>
  <c r="C1125" i="1"/>
  <c r="A1126" i="1"/>
  <c r="B1126" i="1"/>
  <c r="C1126" i="1"/>
  <c r="A1127" i="1"/>
  <c r="B1127" i="1"/>
  <c r="C1127" i="1"/>
  <c r="A1128" i="1"/>
  <c r="B1128" i="1"/>
  <c r="C1128" i="1"/>
  <c r="A1129" i="1"/>
  <c r="B1129" i="1"/>
  <c r="C1129" i="1"/>
  <c r="A1130" i="1"/>
  <c r="B1130" i="1"/>
  <c r="C1130" i="1"/>
  <c r="A1131" i="1"/>
  <c r="B1131" i="1"/>
  <c r="C1131" i="1"/>
  <c r="A1132" i="1"/>
  <c r="B1132" i="1"/>
  <c r="C1132" i="1"/>
  <c r="A1133" i="1"/>
  <c r="B1133" i="1"/>
  <c r="C1133" i="1"/>
  <c r="A1134" i="1"/>
  <c r="B1134" i="1"/>
  <c r="C1134" i="1"/>
  <c r="A1135" i="1"/>
  <c r="B1135" i="1"/>
  <c r="C1135" i="1"/>
  <c r="A1136" i="1"/>
  <c r="B1136" i="1"/>
  <c r="C1136" i="1"/>
  <c r="A1137" i="1"/>
  <c r="B1137" i="1"/>
  <c r="C1137" i="1"/>
  <c r="A1138" i="1"/>
  <c r="B1138" i="1"/>
  <c r="C1138" i="1"/>
  <c r="A1139" i="1"/>
  <c r="B1139" i="1"/>
  <c r="C1139" i="1"/>
  <c r="A1140" i="1"/>
  <c r="B1140" i="1"/>
  <c r="C1140" i="1"/>
  <c r="A1141" i="1"/>
  <c r="B1141" i="1"/>
  <c r="C1141" i="1"/>
  <c r="A1142" i="1"/>
  <c r="B1142" i="1"/>
  <c r="C1142" i="1"/>
  <c r="A1143" i="1"/>
  <c r="B1143" i="1"/>
  <c r="C1143" i="1"/>
  <c r="A1144" i="1"/>
  <c r="B1144" i="1"/>
  <c r="C1144" i="1"/>
  <c r="A1145" i="1"/>
  <c r="B1145" i="1"/>
  <c r="C1145" i="1"/>
  <c r="A1146" i="1"/>
  <c r="B1146" i="1"/>
  <c r="C1146" i="1"/>
  <c r="A1147" i="1"/>
  <c r="B1147" i="1"/>
  <c r="C1147" i="1"/>
  <c r="A1148" i="1"/>
  <c r="B1148" i="1"/>
  <c r="C1148" i="1"/>
  <c r="A1149" i="1"/>
  <c r="B1149" i="1"/>
  <c r="C1149" i="1"/>
  <c r="A1150" i="1"/>
  <c r="B1150" i="1"/>
  <c r="C1150" i="1"/>
  <c r="A1151" i="1"/>
  <c r="B1151" i="1"/>
  <c r="C1151" i="1"/>
  <c r="A1152" i="1"/>
  <c r="B1152" i="1"/>
  <c r="C1152" i="1"/>
  <c r="A1153" i="1"/>
  <c r="B1153" i="1"/>
  <c r="C1153" i="1"/>
  <c r="A1154" i="1"/>
  <c r="B1154" i="1"/>
  <c r="C1154" i="1"/>
  <c r="A1155" i="1"/>
  <c r="B1155" i="1"/>
  <c r="C1155" i="1"/>
  <c r="A1156" i="1"/>
  <c r="B1156" i="1"/>
  <c r="C1156" i="1"/>
  <c r="A1157" i="1"/>
  <c r="B1157" i="1"/>
  <c r="C1157" i="1"/>
  <c r="A1158" i="1"/>
  <c r="B1158" i="1"/>
  <c r="C1158" i="1"/>
  <c r="A1159" i="1"/>
  <c r="B1159" i="1"/>
  <c r="C1159" i="1"/>
  <c r="A1160" i="1"/>
  <c r="B1160" i="1"/>
  <c r="C1160" i="1"/>
  <c r="A1161" i="1"/>
  <c r="B1161" i="1"/>
  <c r="C1161" i="1"/>
  <c r="A1162" i="1"/>
  <c r="B1162" i="1"/>
  <c r="C1162" i="1"/>
  <c r="A1163" i="1"/>
  <c r="B1163" i="1"/>
  <c r="C1163" i="1"/>
  <c r="A1164" i="1"/>
  <c r="B1164" i="1"/>
  <c r="C1164" i="1"/>
  <c r="A1165" i="1"/>
  <c r="B1165" i="1"/>
  <c r="C1165" i="1"/>
  <c r="A1166" i="1"/>
  <c r="B1166" i="1"/>
  <c r="C1166" i="1"/>
  <c r="A1167" i="1"/>
  <c r="B1167" i="1"/>
  <c r="C1167" i="1"/>
  <c r="A1168" i="1"/>
  <c r="B1168" i="1"/>
  <c r="C1168" i="1"/>
  <c r="A1169" i="1"/>
  <c r="B1169" i="1"/>
  <c r="C1169" i="1"/>
  <c r="A1170" i="1"/>
  <c r="B1170" i="1"/>
  <c r="C1170" i="1"/>
  <c r="A1171" i="1"/>
  <c r="B1171" i="1"/>
  <c r="C1171" i="1"/>
  <c r="A1172" i="1"/>
  <c r="B1172" i="1"/>
  <c r="C1172" i="1"/>
  <c r="A1173" i="1"/>
  <c r="B1173" i="1"/>
  <c r="C1173" i="1"/>
  <c r="A1174" i="1"/>
  <c r="B1174" i="1"/>
  <c r="C1174" i="1"/>
  <c r="A1175" i="1"/>
  <c r="B1175" i="1"/>
  <c r="C1175" i="1"/>
  <c r="A1176" i="1"/>
  <c r="B1176" i="1"/>
  <c r="C1176" i="1"/>
  <c r="A1177" i="1"/>
  <c r="B1177" i="1"/>
  <c r="C1177" i="1"/>
  <c r="A1178" i="1"/>
  <c r="B1178" i="1"/>
  <c r="C1178" i="1"/>
  <c r="A1179" i="1"/>
  <c r="B1179" i="1"/>
  <c r="C1179" i="1"/>
  <c r="A1180" i="1"/>
  <c r="B1180" i="1"/>
  <c r="C1180" i="1"/>
  <c r="A1181" i="1"/>
  <c r="B1181" i="1"/>
  <c r="C1181" i="1"/>
  <c r="A1182" i="1"/>
  <c r="B1182" i="1"/>
  <c r="C1182" i="1"/>
  <c r="A1183" i="1"/>
  <c r="B1183" i="1"/>
  <c r="C1183" i="1"/>
  <c r="A1184" i="1"/>
  <c r="B1184" i="1"/>
  <c r="C1184" i="1"/>
  <c r="A1185" i="1"/>
  <c r="B1185" i="1"/>
  <c r="C1185" i="1"/>
  <c r="A1186" i="1"/>
  <c r="B1186" i="1"/>
  <c r="C1186" i="1"/>
  <c r="A1187" i="1"/>
  <c r="B1187" i="1"/>
  <c r="C1187" i="1"/>
  <c r="A1188" i="1"/>
  <c r="B1188" i="1"/>
  <c r="C1188" i="1"/>
  <c r="A1189" i="1"/>
  <c r="B1189" i="1"/>
  <c r="C1189" i="1"/>
  <c r="A1190" i="1"/>
  <c r="B1190" i="1"/>
  <c r="C1190" i="1"/>
  <c r="A1191" i="1"/>
  <c r="B1191" i="1"/>
  <c r="C1191" i="1"/>
  <c r="A1192" i="1"/>
  <c r="B1192" i="1"/>
  <c r="C1192" i="1"/>
  <c r="A1193" i="1"/>
  <c r="B1193" i="1"/>
  <c r="C1193" i="1"/>
  <c r="A1194" i="1"/>
  <c r="B1194" i="1"/>
  <c r="C1194" i="1"/>
  <c r="A1195" i="1"/>
  <c r="B1195" i="1"/>
  <c r="C1195" i="1"/>
  <c r="A1196" i="1"/>
  <c r="B1196" i="1"/>
  <c r="C1196" i="1"/>
  <c r="A1197" i="1"/>
  <c r="B1197" i="1"/>
  <c r="C1197" i="1"/>
  <c r="A1198" i="1"/>
  <c r="B1198" i="1"/>
  <c r="C1198" i="1"/>
  <c r="A1199" i="1"/>
  <c r="B1199" i="1"/>
  <c r="C1199" i="1"/>
  <c r="A1200" i="1"/>
  <c r="B1200" i="1"/>
  <c r="C1200" i="1"/>
  <c r="A1201" i="1"/>
  <c r="B1201" i="1"/>
  <c r="C1201" i="1"/>
  <c r="A1203" i="1"/>
  <c r="B1203" i="1"/>
  <c r="C1203" i="1"/>
  <c r="A1205" i="1"/>
  <c r="B1205" i="1"/>
  <c r="C1205" i="1"/>
  <c r="A1207" i="1"/>
  <c r="B1207" i="1"/>
  <c r="C1207" i="1"/>
  <c r="A1208" i="1"/>
  <c r="B1208" i="1"/>
  <c r="C1208" i="1"/>
  <c r="A1209" i="1"/>
  <c r="B1209" i="1"/>
  <c r="C1209" i="1"/>
  <c r="A1210" i="1"/>
  <c r="B1210" i="1"/>
  <c r="C1210" i="1"/>
  <c r="A1211" i="1"/>
  <c r="B1211" i="1"/>
  <c r="C1211" i="1"/>
  <c r="A1212" i="1"/>
  <c r="B1212" i="1"/>
  <c r="C1212" i="1"/>
  <c r="A1213" i="1"/>
  <c r="B1213" i="1"/>
  <c r="C1213" i="1"/>
  <c r="A1214" i="1"/>
  <c r="B1214" i="1"/>
  <c r="C1214" i="1"/>
  <c r="A1215" i="1"/>
  <c r="B1215" i="1"/>
  <c r="C1215" i="1"/>
  <c r="A1216" i="1"/>
  <c r="B1216" i="1"/>
  <c r="C1216" i="1"/>
  <c r="A1217" i="1"/>
  <c r="B1217" i="1"/>
  <c r="C1217" i="1"/>
  <c r="A1218" i="1"/>
  <c r="B1218" i="1"/>
  <c r="C1218" i="1"/>
  <c r="A1219" i="1"/>
  <c r="B1219" i="1"/>
  <c r="C1219" i="1"/>
  <c r="A1220" i="1"/>
  <c r="B1220" i="1"/>
  <c r="C1220" i="1"/>
  <c r="A1221" i="1"/>
  <c r="B1221" i="1"/>
  <c r="C1221" i="1"/>
  <c r="A1222" i="1"/>
  <c r="B1222" i="1"/>
  <c r="C1222" i="1"/>
  <c r="A1223" i="1"/>
  <c r="B1223" i="1"/>
  <c r="C1223" i="1"/>
  <c r="A1224" i="1"/>
  <c r="B1224" i="1"/>
  <c r="C1224" i="1"/>
  <c r="A1225" i="1"/>
  <c r="B1225" i="1"/>
  <c r="C1225" i="1"/>
  <c r="A1226" i="1"/>
  <c r="B1226" i="1"/>
  <c r="C1226" i="1"/>
  <c r="A1227" i="1"/>
  <c r="B1227" i="1"/>
  <c r="C1227" i="1"/>
  <c r="A1228" i="1"/>
  <c r="B1228" i="1"/>
  <c r="C1228" i="1"/>
  <c r="A1229" i="1"/>
  <c r="B1229" i="1"/>
  <c r="C1229" i="1"/>
  <c r="A1230" i="1"/>
  <c r="B1230" i="1"/>
  <c r="C1230" i="1"/>
  <c r="A1231" i="1"/>
  <c r="B1231" i="1"/>
  <c r="C1231" i="1"/>
  <c r="A1232" i="1"/>
  <c r="B1232" i="1"/>
  <c r="C1232" i="1"/>
  <c r="A1233" i="1"/>
  <c r="B1233" i="1"/>
  <c r="C1233" i="1"/>
  <c r="A1234" i="1"/>
  <c r="B1234" i="1"/>
  <c r="C1234" i="1"/>
  <c r="A1235" i="1"/>
  <c r="B1235" i="1"/>
  <c r="C1235" i="1"/>
  <c r="A1236" i="1"/>
  <c r="B1236" i="1"/>
  <c r="C1236" i="1"/>
  <c r="A1237" i="1"/>
  <c r="B1237" i="1"/>
  <c r="C1237" i="1"/>
  <c r="A1238" i="1"/>
  <c r="B1238" i="1"/>
  <c r="C1238" i="1"/>
  <c r="A1239" i="1"/>
  <c r="B1239" i="1"/>
  <c r="C1239" i="1"/>
  <c r="A1240" i="1"/>
  <c r="B1240" i="1"/>
  <c r="C1240" i="1"/>
  <c r="A1241" i="1"/>
  <c r="B1241" i="1"/>
  <c r="C1241" i="1"/>
  <c r="A1242" i="1"/>
  <c r="B1242" i="1"/>
  <c r="C1242" i="1"/>
  <c r="A1243" i="1"/>
  <c r="B1243" i="1"/>
  <c r="C1243" i="1"/>
  <c r="A1244" i="1"/>
  <c r="B1244" i="1"/>
  <c r="C1244" i="1"/>
  <c r="A1245" i="1"/>
  <c r="B1245" i="1"/>
  <c r="C1245" i="1"/>
  <c r="A1246" i="1"/>
  <c r="B1246" i="1"/>
  <c r="C1246" i="1"/>
  <c r="A1247" i="1"/>
  <c r="B1247" i="1"/>
  <c r="C1247" i="1"/>
  <c r="A1248" i="1"/>
  <c r="B1248" i="1"/>
  <c r="C1248" i="1"/>
  <c r="A1249" i="1"/>
  <c r="B1249" i="1"/>
  <c r="C1249" i="1"/>
  <c r="A1250" i="1"/>
  <c r="B1250" i="1"/>
  <c r="C1250" i="1"/>
  <c r="A1251" i="1"/>
  <c r="B1251" i="1"/>
  <c r="C1251" i="1"/>
  <c r="A1252" i="1"/>
  <c r="B1252" i="1"/>
  <c r="C1252" i="1"/>
  <c r="A1253" i="1"/>
  <c r="B1253" i="1"/>
  <c r="C1253" i="1"/>
  <c r="A1254" i="1"/>
  <c r="B1254" i="1"/>
  <c r="C1254" i="1"/>
  <c r="A1255" i="1"/>
  <c r="B1255" i="1"/>
  <c r="C1255" i="1"/>
  <c r="A1256" i="1"/>
  <c r="B1256" i="1"/>
  <c r="C1256" i="1"/>
  <c r="A1257" i="1"/>
  <c r="B1257" i="1"/>
  <c r="C1257" i="1"/>
  <c r="A1258" i="1"/>
  <c r="B1258" i="1"/>
  <c r="C1258" i="1"/>
  <c r="A1259" i="1"/>
  <c r="B1259" i="1"/>
  <c r="C1259" i="1"/>
  <c r="A1260" i="1"/>
  <c r="B1260" i="1"/>
  <c r="C1260" i="1"/>
  <c r="A1261" i="1"/>
  <c r="B1261" i="1"/>
  <c r="C1261" i="1"/>
  <c r="A1262" i="1"/>
  <c r="B1262" i="1"/>
  <c r="C1262" i="1"/>
  <c r="A1263" i="1"/>
  <c r="B1263" i="1"/>
  <c r="C1263" i="1"/>
  <c r="A1264" i="1"/>
  <c r="B1264" i="1"/>
  <c r="C1264" i="1"/>
  <c r="A1265" i="1"/>
  <c r="B1265" i="1"/>
  <c r="C1265" i="1"/>
  <c r="A1266" i="1"/>
  <c r="B1266" i="1"/>
  <c r="C1266" i="1"/>
  <c r="A1267" i="1"/>
  <c r="B1267" i="1"/>
  <c r="C1267" i="1"/>
  <c r="A1268" i="1"/>
  <c r="B1268" i="1"/>
  <c r="C1268" i="1"/>
  <c r="A1269" i="1"/>
  <c r="B1269" i="1"/>
  <c r="C1269" i="1"/>
  <c r="A1270" i="1"/>
  <c r="B1270" i="1"/>
  <c r="C1270" i="1"/>
  <c r="A1271" i="1"/>
  <c r="B1271" i="1"/>
  <c r="C1271" i="1"/>
  <c r="A1272" i="1"/>
  <c r="B1272" i="1"/>
  <c r="C1272" i="1"/>
  <c r="A1273" i="1"/>
  <c r="B1273" i="1"/>
  <c r="C1273" i="1"/>
  <c r="A1274" i="1"/>
  <c r="B1274" i="1"/>
  <c r="C1274" i="1"/>
  <c r="A1275" i="1"/>
  <c r="B1275" i="1"/>
  <c r="C1275" i="1"/>
  <c r="A1276" i="1"/>
  <c r="B1276" i="1"/>
  <c r="C1276" i="1"/>
  <c r="A1277" i="1"/>
  <c r="B1277" i="1"/>
  <c r="C1277" i="1"/>
  <c r="A1278" i="1"/>
  <c r="B1278" i="1"/>
  <c r="C1278" i="1"/>
  <c r="A1279" i="1"/>
  <c r="B1279" i="1"/>
  <c r="C1279" i="1"/>
  <c r="A1280" i="1"/>
  <c r="B1280" i="1"/>
  <c r="C1280" i="1"/>
  <c r="A1281" i="1"/>
  <c r="B1281" i="1"/>
  <c r="C1281" i="1"/>
  <c r="A1282" i="1"/>
  <c r="B1282" i="1"/>
  <c r="C1282" i="1"/>
  <c r="A1283" i="1"/>
  <c r="B1283" i="1"/>
  <c r="C1283" i="1"/>
  <c r="A1284" i="1"/>
  <c r="B1284" i="1"/>
  <c r="C1284" i="1"/>
  <c r="A1285" i="1"/>
  <c r="B1285" i="1"/>
  <c r="C1285" i="1"/>
  <c r="A1286" i="1"/>
  <c r="B1286" i="1"/>
  <c r="C1286" i="1"/>
  <c r="A1287" i="1"/>
  <c r="B1287" i="1"/>
  <c r="C1287" i="1"/>
  <c r="A1288" i="1"/>
  <c r="B1288" i="1"/>
  <c r="C1288" i="1"/>
  <c r="A1289" i="1"/>
  <c r="B1289" i="1"/>
  <c r="C1289" i="1"/>
  <c r="A1290" i="1"/>
  <c r="B1290" i="1"/>
  <c r="C1290" i="1"/>
  <c r="A1291" i="1"/>
  <c r="B1291" i="1"/>
  <c r="C1291" i="1"/>
  <c r="A1292" i="1"/>
  <c r="B1292" i="1"/>
  <c r="C1292" i="1"/>
  <c r="A1293" i="1"/>
  <c r="B1293" i="1"/>
  <c r="C1293" i="1"/>
  <c r="A1294" i="1"/>
  <c r="B1294" i="1"/>
  <c r="C1294" i="1"/>
  <c r="A1295" i="1"/>
  <c r="B1295" i="1"/>
  <c r="C1295" i="1"/>
  <c r="A1296" i="1"/>
  <c r="B1296" i="1"/>
  <c r="C1296" i="1"/>
  <c r="A1297" i="1"/>
  <c r="B1297" i="1"/>
  <c r="C1297" i="1"/>
  <c r="A1298" i="1"/>
  <c r="B1298" i="1"/>
  <c r="C1298" i="1"/>
  <c r="A1299" i="1"/>
  <c r="B1299" i="1"/>
  <c r="C1299" i="1"/>
  <c r="A1300" i="1"/>
  <c r="B1300" i="1"/>
  <c r="C1300" i="1"/>
  <c r="A1301" i="1"/>
  <c r="B1301" i="1"/>
  <c r="C1301" i="1"/>
  <c r="A1302" i="1"/>
  <c r="B1302" i="1"/>
  <c r="C1302" i="1"/>
  <c r="A1303" i="1"/>
  <c r="B1303" i="1"/>
  <c r="C1303" i="1"/>
  <c r="A1304" i="1"/>
  <c r="B1304" i="1"/>
  <c r="C1304" i="1"/>
  <c r="A1305" i="1"/>
  <c r="B1305" i="1"/>
  <c r="C1305" i="1"/>
  <c r="A1306" i="1"/>
  <c r="B1306" i="1"/>
  <c r="C1306" i="1"/>
  <c r="A1307" i="1"/>
  <c r="B1307" i="1"/>
  <c r="C1307" i="1"/>
  <c r="A1308" i="1"/>
  <c r="B1308" i="1"/>
  <c r="C1308" i="1"/>
  <c r="A1309" i="1"/>
  <c r="B1309" i="1"/>
  <c r="C1309" i="1"/>
  <c r="A1310" i="1"/>
  <c r="B1310" i="1"/>
  <c r="C1310" i="1"/>
  <c r="A1311" i="1"/>
  <c r="B1311" i="1"/>
  <c r="C1311" i="1"/>
  <c r="A1312" i="1"/>
  <c r="B1312" i="1"/>
  <c r="C1312" i="1"/>
  <c r="A1313" i="1"/>
  <c r="B1313" i="1"/>
  <c r="C1313" i="1"/>
  <c r="A1314" i="1"/>
  <c r="B1314" i="1"/>
  <c r="C1314" i="1"/>
  <c r="A1315" i="1"/>
  <c r="B1315" i="1"/>
  <c r="C1315" i="1"/>
  <c r="A1316" i="1"/>
  <c r="B1316" i="1"/>
  <c r="C1316" i="1"/>
  <c r="A1317" i="1"/>
  <c r="B1317" i="1"/>
  <c r="C1317" i="1"/>
  <c r="A1318" i="1"/>
  <c r="B1318" i="1"/>
  <c r="C1318" i="1"/>
  <c r="A1319" i="1"/>
  <c r="B1319" i="1"/>
  <c r="C1319" i="1"/>
  <c r="A1320" i="1"/>
  <c r="B1320" i="1"/>
  <c r="C1320" i="1"/>
  <c r="A1321" i="1"/>
  <c r="B1321" i="1"/>
  <c r="C1321" i="1"/>
  <c r="A1322" i="1"/>
  <c r="B1322" i="1"/>
  <c r="C1322" i="1"/>
  <c r="A1323" i="1"/>
  <c r="B1323" i="1"/>
  <c r="C1323" i="1"/>
  <c r="A1324" i="1"/>
  <c r="B1324" i="1"/>
  <c r="C1324" i="1"/>
  <c r="A1325" i="1"/>
  <c r="B1325" i="1"/>
  <c r="C1325" i="1"/>
  <c r="A1326" i="1"/>
  <c r="B1326" i="1"/>
  <c r="C1326" i="1"/>
  <c r="A1327" i="1"/>
  <c r="B1327" i="1"/>
  <c r="C1327" i="1"/>
  <c r="A1328" i="1"/>
  <c r="B1328" i="1"/>
  <c r="C1328" i="1"/>
  <c r="A1329" i="1"/>
  <c r="B1329" i="1"/>
  <c r="C1329" i="1"/>
  <c r="A1330" i="1"/>
  <c r="B1330" i="1"/>
  <c r="C1330" i="1"/>
  <c r="A1331" i="1"/>
  <c r="B1331" i="1"/>
  <c r="C1331" i="1"/>
  <c r="A1332" i="1"/>
  <c r="B1332" i="1"/>
  <c r="C1332" i="1"/>
  <c r="A1333" i="1"/>
  <c r="B1333" i="1"/>
  <c r="C1333" i="1"/>
  <c r="A1334" i="1"/>
  <c r="B1334" i="1"/>
  <c r="C1334" i="1"/>
  <c r="A1335" i="1"/>
  <c r="B1335" i="1"/>
  <c r="C1335" i="1"/>
  <c r="A1336" i="1"/>
  <c r="B1336" i="1"/>
  <c r="C1336" i="1"/>
  <c r="A1337" i="1"/>
  <c r="B1337" i="1"/>
  <c r="C1337" i="1"/>
  <c r="A1338" i="1"/>
  <c r="B1338" i="1"/>
  <c r="C1338" i="1"/>
  <c r="A1339" i="1"/>
  <c r="B1339" i="1"/>
  <c r="C1339" i="1"/>
  <c r="A1340" i="1"/>
  <c r="B1340" i="1"/>
  <c r="C1340" i="1"/>
  <c r="A1341" i="1"/>
  <c r="B1341" i="1"/>
  <c r="C1341" i="1"/>
  <c r="A1342" i="1"/>
  <c r="B1342" i="1"/>
  <c r="C1342" i="1"/>
  <c r="A1343" i="1"/>
  <c r="B1343" i="1"/>
  <c r="C1343" i="1"/>
  <c r="A1344" i="1"/>
  <c r="B1344" i="1"/>
  <c r="C1344" i="1"/>
  <c r="A1345" i="1"/>
  <c r="B1345" i="1"/>
  <c r="C1345" i="1"/>
  <c r="A1346" i="1"/>
  <c r="B1346" i="1"/>
  <c r="C1346" i="1"/>
  <c r="A1347" i="1"/>
  <c r="B1347" i="1"/>
  <c r="C1347" i="1"/>
  <c r="A1348" i="1"/>
  <c r="B1348" i="1"/>
  <c r="C1348" i="1"/>
  <c r="A1349" i="1"/>
  <c r="B1349" i="1"/>
  <c r="C1349" i="1"/>
  <c r="A1350" i="1"/>
  <c r="B1350" i="1"/>
  <c r="C1350" i="1"/>
  <c r="A1351" i="1"/>
  <c r="B1351" i="1"/>
  <c r="C1351" i="1"/>
  <c r="A1352" i="1"/>
  <c r="B1352" i="1"/>
  <c r="C1352" i="1"/>
  <c r="A1353" i="1"/>
  <c r="B1353" i="1"/>
  <c r="C1353" i="1"/>
  <c r="A1354" i="1"/>
  <c r="B1354" i="1"/>
  <c r="C1354" i="1"/>
  <c r="A1355" i="1"/>
  <c r="B1355" i="1"/>
  <c r="C1355" i="1"/>
  <c r="A1356" i="1"/>
  <c r="B1356" i="1"/>
  <c r="C1356" i="1"/>
  <c r="A1357" i="1"/>
  <c r="B1357" i="1"/>
  <c r="C1357" i="1"/>
  <c r="A1358" i="1"/>
  <c r="B1358" i="1"/>
  <c r="C1358" i="1"/>
  <c r="A1359" i="1"/>
  <c r="B1359" i="1"/>
  <c r="C1359" i="1"/>
  <c r="A1360" i="1"/>
  <c r="B1360" i="1"/>
  <c r="C1360" i="1"/>
  <c r="A1361" i="1"/>
  <c r="B1361" i="1"/>
  <c r="C1361" i="1"/>
  <c r="A1362" i="1"/>
  <c r="B1362" i="1"/>
  <c r="C1362" i="1"/>
  <c r="A1363" i="1"/>
  <c r="B1363" i="1"/>
  <c r="C1363" i="1"/>
  <c r="A1364" i="1"/>
  <c r="B1364" i="1"/>
  <c r="C1364" i="1"/>
  <c r="A1365" i="1"/>
  <c r="B1365" i="1"/>
  <c r="C1365" i="1"/>
  <c r="A1366" i="1"/>
  <c r="B1366" i="1"/>
  <c r="C1366" i="1"/>
  <c r="A1367" i="1"/>
  <c r="B1367" i="1"/>
  <c r="C1367" i="1"/>
  <c r="A1368" i="1"/>
  <c r="B1368" i="1"/>
  <c r="C1368" i="1"/>
  <c r="A1369" i="1"/>
  <c r="B1369" i="1"/>
  <c r="C1369" i="1"/>
  <c r="A1370" i="1"/>
  <c r="B1370" i="1"/>
  <c r="C1370" i="1"/>
  <c r="A1371" i="1"/>
  <c r="B1371" i="1"/>
  <c r="C1371" i="1"/>
  <c r="A1372" i="1"/>
  <c r="B1372" i="1"/>
  <c r="C1372" i="1"/>
  <c r="A1373" i="1"/>
  <c r="B1373" i="1"/>
  <c r="C1373" i="1"/>
  <c r="A1374" i="1"/>
  <c r="B1374" i="1"/>
  <c r="C1374" i="1"/>
  <c r="A1375" i="1"/>
  <c r="B1375" i="1"/>
  <c r="C1375" i="1"/>
  <c r="A1376" i="1"/>
  <c r="B1376" i="1"/>
  <c r="C1376" i="1"/>
  <c r="A1377" i="1"/>
  <c r="B1377" i="1"/>
  <c r="C1377" i="1"/>
  <c r="A1378" i="1"/>
  <c r="B1378" i="1"/>
  <c r="C1378" i="1"/>
  <c r="A1379" i="1"/>
  <c r="B1379" i="1"/>
  <c r="C1379" i="1"/>
  <c r="A1380" i="1"/>
  <c r="B1380" i="1"/>
  <c r="C1380" i="1"/>
  <c r="A1381" i="1"/>
  <c r="B1381" i="1"/>
  <c r="C1381" i="1"/>
  <c r="A1382" i="1"/>
  <c r="B1382" i="1"/>
  <c r="C1382" i="1"/>
  <c r="A1383" i="1"/>
  <c r="B1383" i="1"/>
  <c r="C1383" i="1"/>
  <c r="A1384" i="1"/>
  <c r="B1384" i="1"/>
  <c r="C1384" i="1"/>
  <c r="A1385" i="1"/>
  <c r="B1385" i="1"/>
  <c r="C1385" i="1"/>
  <c r="A1386" i="1"/>
  <c r="B1386" i="1"/>
  <c r="C1386" i="1"/>
  <c r="A1387" i="1"/>
  <c r="B1387" i="1"/>
  <c r="C1387" i="1"/>
  <c r="A1388" i="1"/>
  <c r="B1388" i="1"/>
  <c r="C1388" i="1"/>
  <c r="A1389" i="1"/>
  <c r="B1389" i="1"/>
  <c r="C1389" i="1"/>
  <c r="A1390" i="1"/>
  <c r="B1390" i="1"/>
  <c r="C1390" i="1"/>
  <c r="A1391" i="1"/>
  <c r="B1391" i="1"/>
  <c r="C1391" i="1"/>
  <c r="A1392" i="1"/>
  <c r="B1392" i="1"/>
  <c r="C1392" i="1"/>
  <c r="A1393" i="1"/>
  <c r="B1393" i="1"/>
  <c r="C1393" i="1"/>
  <c r="A1394" i="1"/>
  <c r="B1394" i="1"/>
  <c r="C1394" i="1"/>
  <c r="A1395" i="1"/>
  <c r="B1395" i="1"/>
  <c r="C1395" i="1"/>
  <c r="A1396" i="1"/>
  <c r="B1396" i="1"/>
  <c r="C1396" i="1"/>
  <c r="A1397" i="1"/>
  <c r="B1397" i="1"/>
  <c r="C1397" i="1"/>
  <c r="A1398" i="1"/>
  <c r="B1398" i="1"/>
  <c r="C1398" i="1"/>
  <c r="A1399" i="1"/>
  <c r="B1399" i="1"/>
  <c r="C1399" i="1"/>
  <c r="A1400" i="1"/>
  <c r="B1400" i="1"/>
  <c r="C1400" i="1"/>
  <c r="A1401" i="1"/>
  <c r="B1401" i="1"/>
  <c r="C1401" i="1"/>
  <c r="A1402" i="1"/>
  <c r="B1402" i="1"/>
  <c r="C1402" i="1"/>
  <c r="A1403" i="1"/>
  <c r="B1403" i="1"/>
  <c r="C1403" i="1"/>
  <c r="A1404" i="1"/>
  <c r="B1404" i="1"/>
  <c r="C1404" i="1"/>
  <c r="A1405" i="1"/>
  <c r="B1405" i="1"/>
  <c r="C1405" i="1"/>
  <c r="A1406" i="1"/>
  <c r="B1406" i="1"/>
  <c r="C1406" i="1"/>
  <c r="A1407" i="1"/>
  <c r="B1407" i="1"/>
  <c r="C1407" i="1"/>
  <c r="A1408" i="1"/>
  <c r="B1408" i="1"/>
  <c r="C1408" i="1"/>
  <c r="A1409" i="1"/>
  <c r="B1409" i="1"/>
  <c r="C1409" i="1"/>
  <c r="A1410" i="1"/>
  <c r="B1410" i="1"/>
  <c r="C1410" i="1"/>
  <c r="A1411" i="1"/>
  <c r="B1411" i="1"/>
  <c r="C1411" i="1"/>
  <c r="A1412" i="1"/>
  <c r="B1412" i="1"/>
  <c r="C1412" i="1"/>
  <c r="A1413" i="1"/>
  <c r="B1413" i="1"/>
  <c r="C1413" i="1"/>
  <c r="A1414" i="1"/>
  <c r="B1414" i="1"/>
  <c r="C1414" i="1"/>
  <c r="A1415" i="1"/>
  <c r="B1415" i="1"/>
  <c r="C1415" i="1"/>
  <c r="A1416" i="1"/>
  <c r="B1416" i="1"/>
  <c r="C1416" i="1"/>
  <c r="A1417" i="1"/>
  <c r="B1417" i="1"/>
  <c r="C1417" i="1"/>
  <c r="A1418" i="1"/>
  <c r="B1418" i="1"/>
  <c r="C1418" i="1"/>
  <c r="A1419" i="1"/>
  <c r="B1419" i="1"/>
  <c r="C1419" i="1"/>
  <c r="A1420" i="1"/>
  <c r="B1420" i="1"/>
  <c r="C1420" i="1"/>
  <c r="A1421" i="1"/>
  <c r="B1421" i="1"/>
  <c r="C1421" i="1"/>
  <c r="A1422" i="1"/>
  <c r="B1422" i="1"/>
  <c r="C1422" i="1"/>
  <c r="A1423" i="1"/>
  <c r="B1423" i="1"/>
  <c r="C1423" i="1"/>
  <c r="A1424" i="1"/>
  <c r="B1424" i="1"/>
  <c r="C1424" i="1"/>
  <c r="A1425" i="1"/>
  <c r="B1425" i="1"/>
  <c r="C1425" i="1"/>
  <c r="A1426" i="1"/>
  <c r="B1426" i="1"/>
  <c r="C1426" i="1"/>
  <c r="A1427" i="1"/>
  <c r="B1427" i="1"/>
  <c r="C1427" i="1"/>
  <c r="A1428" i="1"/>
  <c r="B1428" i="1"/>
  <c r="C1428" i="1"/>
  <c r="A1429" i="1"/>
  <c r="B1429" i="1"/>
  <c r="C1429" i="1"/>
  <c r="A1430" i="1"/>
  <c r="B1430" i="1"/>
  <c r="C1430" i="1"/>
  <c r="A1431" i="1"/>
  <c r="B1431" i="1"/>
  <c r="C1431" i="1"/>
  <c r="A1432" i="1"/>
  <c r="B1432" i="1"/>
  <c r="C1432" i="1"/>
  <c r="A1433" i="1"/>
  <c r="B1433" i="1"/>
  <c r="C1433" i="1"/>
  <c r="A1434" i="1"/>
  <c r="B1434" i="1"/>
  <c r="C1434" i="1"/>
  <c r="A1435" i="1"/>
  <c r="B1435" i="1"/>
  <c r="C1435" i="1"/>
  <c r="A1436" i="1"/>
  <c r="B1436" i="1"/>
  <c r="C1436" i="1"/>
  <c r="A1437" i="1"/>
  <c r="B1437" i="1"/>
  <c r="C1437" i="1"/>
  <c r="A1438" i="1"/>
  <c r="B1438" i="1"/>
  <c r="C1438" i="1"/>
  <c r="A1439" i="1"/>
  <c r="B1439" i="1"/>
  <c r="C1439" i="1"/>
  <c r="A1440" i="1"/>
  <c r="B1440" i="1"/>
  <c r="C1440" i="1"/>
  <c r="A1441" i="1"/>
  <c r="B1441" i="1"/>
  <c r="C1441" i="1"/>
  <c r="A1442" i="1"/>
  <c r="B1442" i="1"/>
  <c r="C1442" i="1"/>
  <c r="A1443" i="1"/>
  <c r="B1443" i="1"/>
  <c r="C1443" i="1"/>
  <c r="A1444" i="1"/>
  <c r="B1444" i="1"/>
  <c r="C1444" i="1"/>
  <c r="A1445" i="1"/>
  <c r="B1445" i="1"/>
  <c r="C1445" i="1"/>
  <c r="A1446" i="1"/>
  <c r="B1446" i="1"/>
  <c r="C1446" i="1"/>
  <c r="A1447" i="1"/>
  <c r="B1447" i="1"/>
  <c r="C1447" i="1"/>
  <c r="A1448" i="1"/>
  <c r="B1448" i="1"/>
  <c r="C1448" i="1"/>
  <c r="A1449" i="1"/>
  <c r="B1449" i="1"/>
  <c r="C1449" i="1"/>
  <c r="A1450" i="1"/>
  <c r="B1450" i="1"/>
  <c r="C1450" i="1"/>
  <c r="A1451" i="1"/>
  <c r="B1451" i="1"/>
  <c r="C1451" i="1"/>
  <c r="A1452" i="1"/>
  <c r="B1452" i="1"/>
  <c r="C1452" i="1"/>
  <c r="A1453" i="1"/>
  <c r="B1453" i="1"/>
  <c r="C1453" i="1"/>
  <c r="A1454" i="1"/>
  <c r="B1454" i="1"/>
  <c r="C1454" i="1"/>
  <c r="A1455" i="1"/>
  <c r="B1455" i="1"/>
  <c r="C1455" i="1"/>
  <c r="A1456" i="1"/>
  <c r="B1456" i="1"/>
  <c r="C1456" i="1"/>
  <c r="A1457" i="1"/>
  <c r="B1457" i="1"/>
  <c r="C1457" i="1"/>
  <c r="A1458" i="1"/>
  <c r="B1458" i="1"/>
  <c r="C1458" i="1"/>
  <c r="A1459" i="1"/>
  <c r="B1459" i="1"/>
  <c r="C1459" i="1"/>
  <c r="A1460" i="1"/>
  <c r="B1460" i="1"/>
  <c r="C1460" i="1"/>
  <c r="A1461" i="1"/>
  <c r="B1461" i="1"/>
  <c r="C1461" i="1"/>
  <c r="A1462" i="1"/>
  <c r="B1462" i="1"/>
  <c r="C1462" i="1"/>
  <c r="A1463" i="1"/>
  <c r="B1463" i="1"/>
  <c r="C1463" i="1"/>
  <c r="A1464" i="1"/>
  <c r="B1464" i="1"/>
  <c r="C1464" i="1"/>
  <c r="A1465" i="1"/>
  <c r="B1465" i="1"/>
  <c r="C1465" i="1"/>
  <c r="A1466" i="1"/>
  <c r="B1466" i="1"/>
  <c r="C1466" i="1"/>
  <c r="A1467" i="1"/>
  <c r="B1467" i="1"/>
  <c r="C1467" i="1"/>
  <c r="A1468" i="1"/>
  <c r="B1468" i="1"/>
  <c r="C1468" i="1"/>
  <c r="A1469" i="1"/>
  <c r="B1469" i="1"/>
  <c r="C1469" i="1"/>
  <c r="A1470" i="1"/>
  <c r="B1470" i="1"/>
  <c r="C1470" i="1"/>
  <c r="A1471" i="1"/>
  <c r="B1471" i="1"/>
  <c r="C1471" i="1"/>
  <c r="A1472" i="1"/>
  <c r="B1472" i="1"/>
  <c r="C1472" i="1"/>
  <c r="A1473" i="1"/>
  <c r="B1473" i="1"/>
  <c r="C1473" i="1"/>
  <c r="A1474" i="1"/>
  <c r="B1474" i="1"/>
  <c r="C1474" i="1"/>
  <c r="A1475" i="1"/>
  <c r="B1475" i="1"/>
  <c r="C1475" i="1"/>
  <c r="A1476" i="1"/>
  <c r="B1476" i="1"/>
  <c r="C1476" i="1"/>
  <c r="A1477" i="1"/>
  <c r="B1477" i="1"/>
  <c r="C1477" i="1"/>
  <c r="A1478" i="1"/>
  <c r="B1478" i="1"/>
  <c r="C1478" i="1"/>
  <c r="A1479" i="1"/>
  <c r="B1479" i="1"/>
  <c r="C1479" i="1"/>
  <c r="A1480" i="1"/>
  <c r="B1480" i="1"/>
  <c r="C1480" i="1"/>
  <c r="A1481" i="1"/>
  <c r="B1481" i="1"/>
  <c r="C1481" i="1"/>
  <c r="A1482" i="1"/>
  <c r="B1482" i="1"/>
  <c r="C1482" i="1"/>
  <c r="A1483" i="1"/>
  <c r="B1483" i="1"/>
  <c r="C1483" i="1"/>
  <c r="A1485" i="1"/>
  <c r="B1485" i="1"/>
  <c r="C1485" i="1"/>
  <c r="A1486" i="1"/>
  <c r="B1486" i="1"/>
  <c r="C1486" i="1"/>
  <c r="A1487" i="1"/>
  <c r="B1487" i="1"/>
  <c r="C1487" i="1"/>
  <c r="A1488" i="1"/>
  <c r="B1488" i="1"/>
  <c r="C1488" i="1"/>
  <c r="A1489" i="1"/>
  <c r="B1489" i="1"/>
  <c r="C1489" i="1"/>
  <c r="A1490" i="1"/>
  <c r="B1490" i="1"/>
  <c r="C1490" i="1"/>
  <c r="A1491" i="1"/>
  <c r="B1491" i="1"/>
  <c r="C1491" i="1"/>
  <c r="A1492" i="1"/>
  <c r="B1492" i="1"/>
  <c r="C1492" i="1"/>
  <c r="A1493" i="1"/>
  <c r="B1493" i="1"/>
  <c r="C1493" i="1"/>
  <c r="A1494" i="1"/>
  <c r="B1494" i="1"/>
  <c r="C1494" i="1"/>
  <c r="A1495" i="1"/>
  <c r="B1495" i="1"/>
  <c r="C1495" i="1"/>
  <c r="A1496" i="1"/>
  <c r="B1496" i="1"/>
  <c r="C1496" i="1"/>
  <c r="A1497" i="1"/>
  <c r="B1497" i="1"/>
  <c r="C1497" i="1"/>
  <c r="A1498" i="1"/>
  <c r="B1498" i="1"/>
  <c r="C1498" i="1"/>
  <c r="A1499" i="1"/>
  <c r="B1499" i="1"/>
  <c r="C1499" i="1"/>
  <c r="A1500" i="1"/>
  <c r="B1500" i="1"/>
  <c r="C1500" i="1"/>
  <c r="A1501" i="1"/>
  <c r="B1501" i="1"/>
  <c r="C1501" i="1"/>
  <c r="A1502" i="1"/>
  <c r="B1502" i="1"/>
  <c r="C1502" i="1"/>
  <c r="A1503" i="1"/>
  <c r="B1503" i="1"/>
  <c r="C1503" i="1"/>
  <c r="A1504" i="1"/>
  <c r="B1504" i="1"/>
  <c r="C1504" i="1"/>
  <c r="A1505" i="1"/>
  <c r="B1505" i="1"/>
  <c r="C1505" i="1"/>
  <c r="A1506" i="1"/>
  <c r="B1506" i="1"/>
  <c r="C1506" i="1"/>
  <c r="A1507" i="1"/>
  <c r="B1507" i="1"/>
  <c r="C1507" i="1"/>
  <c r="A1508" i="1"/>
  <c r="B1508" i="1"/>
  <c r="C1508" i="1"/>
  <c r="A1509" i="1"/>
  <c r="B1509" i="1"/>
  <c r="C1509" i="1"/>
  <c r="A1510" i="1"/>
  <c r="B1510" i="1"/>
  <c r="C1510" i="1"/>
  <c r="A1511" i="1"/>
  <c r="B1511" i="1"/>
  <c r="C1511" i="1"/>
  <c r="A1512" i="1"/>
  <c r="B1512" i="1"/>
  <c r="C1512" i="1"/>
  <c r="A1513" i="1"/>
  <c r="B1513" i="1"/>
  <c r="C1513" i="1"/>
  <c r="A1514" i="1"/>
  <c r="B1514" i="1"/>
  <c r="C1514" i="1"/>
  <c r="A1515" i="1"/>
  <c r="B1515" i="1"/>
  <c r="C1515" i="1"/>
  <c r="A1516" i="1"/>
  <c r="B1516" i="1"/>
  <c r="C1516" i="1"/>
  <c r="A1517" i="1"/>
  <c r="B1517" i="1"/>
  <c r="C1517" i="1"/>
  <c r="A1518" i="1"/>
  <c r="B1518" i="1"/>
  <c r="C1518" i="1"/>
  <c r="A1519" i="1"/>
  <c r="B1519" i="1"/>
  <c r="C1519" i="1"/>
  <c r="A1520" i="1"/>
  <c r="B1520" i="1"/>
  <c r="C1520" i="1"/>
  <c r="A1521" i="1"/>
  <c r="B1521" i="1"/>
  <c r="C1521" i="1"/>
  <c r="A1522" i="1"/>
  <c r="B1522" i="1"/>
  <c r="C1522" i="1"/>
  <c r="A1523" i="1"/>
  <c r="B1523" i="1"/>
  <c r="C1523" i="1"/>
  <c r="A1524" i="1"/>
  <c r="B1524" i="1"/>
  <c r="C1524" i="1"/>
  <c r="A1525" i="1"/>
  <c r="B1525" i="1"/>
  <c r="C1525" i="1"/>
  <c r="A1526" i="1"/>
  <c r="B1526" i="1"/>
  <c r="C1526" i="1"/>
  <c r="A1527" i="1"/>
  <c r="B1527" i="1"/>
  <c r="C1527" i="1"/>
  <c r="A1528" i="1"/>
  <c r="B1528" i="1"/>
  <c r="C1528" i="1"/>
  <c r="A1529" i="1"/>
  <c r="B1529" i="1"/>
  <c r="C1529" i="1"/>
  <c r="A1530" i="1"/>
  <c r="B1530" i="1"/>
  <c r="C1530" i="1"/>
  <c r="A1531" i="1"/>
  <c r="B1531" i="1"/>
  <c r="C1531" i="1"/>
  <c r="A1532" i="1"/>
  <c r="B1532" i="1"/>
  <c r="C1532" i="1"/>
  <c r="A1533" i="1"/>
  <c r="B1533" i="1"/>
  <c r="C1533" i="1"/>
  <c r="A1534" i="1"/>
  <c r="B1534" i="1"/>
  <c r="C1534" i="1"/>
  <c r="A1535" i="1"/>
  <c r="B1535" i="1"/>
  <c r="C1535" i="1"/>
  <c r="A1536" i="1"/>
  <c r="B1536" i="1"/>
  <c r="C1536" i="1"/>
  <c r="A1537" i="1"/>
  <c r="B1537" i="1"/>
  <c r="C1537" i="1"/>
  <c r="A1538" i="1"/>
  <c r="B1538" i="1"/>
  <c r="C1538" i="1"/>
  <c r="A1539" i="1"/>
  <c r="B1539" i="1"/>
  <c r="C1539" i="1"/>
  <c r="A1540" i="1"/>
  <c r="B1540" i="1"/>
  <c r="C1540" i="1"/>
  <c r="A1541" i="1"/>
  <c r="B1541" i="1"/>
  <c r="C1541" i="1"/>
  <c r="A1542" i="1"/>
  <c r="B1542" i="1"/>
  <c r="C1542" i="1"/>
  <c r="A1543" i="1"/>
  <c r="B1543" i="1"/>
  <c r="C1543" i="1"/>
  <c r="A1544" i="1"/>
  <c r="B1544" i="1"/>
  <c r="C1544" i="1"/>
  <c r="A1545" i="1"/>
  <c r="B1545" i="1"/>
  <c r="C1545" i="1"/>
  <c r="A1546" i="1"/>
  <c r="B1546" i="1"/>
  <c r="C1546" i="1"/>
  <c r="A1547" i="1"/>
  <c r="B1547" i="1"/>
  <c r="C1547" i="1"/>
  <c r="A1548" i="1"/>
  <c r="B1548" i="1"/>
  <c r="C1548" i="1"/>
  <c r="A1549" i="1"/>
  <c r="B1549" i="1"/>
  <c r="C1549" i="1"/>
  <c r="A1550" i="1"/>
  <c r="B1550" i="1"/>
  <c r="C1550" i="1"/>
  <c r="A1551" i="1"/>
  <c r="B1551" i="1"/>
  <c r="C1551" i="1"/>
  <c r="A1552" i="1"/>
  <c r="B1552" i="1"/>
  <c r="C1552" i="1"/>
  <c r="A1553" i="1"/>
  <c r="B1553" i="1"/>
  <c r="C1553" i="1"/>
  <c r="A1554" i="1"/>
  <c r="B1554" i="1"/>
  <c r="C1554" i="1"/>
  <c r="A1555" i="1"/>
  <c r="B1555" i="1"/>
  <c r="C1555" i="1"/>
  <c r="A1556" i="1"/>
  <c r="B1556" i="1"/>
  <c r="C1556" i="1"/>
  <c r="A1557" i="1"/>
  <c r="B1557" i="1"/>
  <c r="C1557" i="1"/>
  <c r="A1558" i="1"/>
  <c r="B1558" i="1"/>
  <c r="C1558" i="1"/>
  <c r="A1559" i="1"/>
  <c r="B1559" i="1"/>
  <c r="C1559" i="1"/>
  <c r="A1560" i="1"/>
  <c r="B1560" i="1"/>
  <c r="C1560" i="1"/>
  <c r="A1561" i="1"/>
  <c r="B1561" i="1"/>
  <c r="C1561" i="1"/>
  <c r="A1562" i="1"/>
  <c r="B1562" i="1"/>
  <c r="C1562" i="1"/>
  <c r="A1563" i="1"/>
  <c r="B1563" i="1"/>
  <c r="C1563" i="1"/>
  <c r="A1564" i="1"/>
  <c r="B1564" i="1"/>
  <c r="C1564" i="1"/>
  <c r="A1565" i="1"/>
  <c r="B1565" i="1"/>
  <c r="C1565" i="1"/>
  <c r="A1566" i="1"/>
  <c r="B1566" i="1"/>
  <c r="C1566" i="1"/>
  <c r="A1567" i="1"/>
  <c r="B1567" i="1"/>
  <c r="C1567" i="1"/>
  <c r="A1568" i="1"/>
  <c r="B1568" i="1"/>
  <c r="C1568" i="1"/>
  <c r="A1569" i="1"/>
  <c r="B1569" i="1"/>
  <c r="C1569" i="1"/>
  <c r="A1570" i="1"/>
  <c r="B1570" i="1"/>
  <c r="C1570" i="1"/>
  <c r="A1571" i="1"/>
  <c r="B1571" i="1"/>
  <c r="C1571" i="1"/>
  <c r="A1572" i="1"/>
  <c r="B1572" i="1"/>
  <c r="C1572" i="1"/>
  <c r="A1573" i="1"/>
  <c r="B1573" i="1"/>
  <c r="C1573" i="1"/>
  <c r="A1574" i="1"/>
  <c r="B1574" i="1"/>
  <c r="C1574" i="1"/>
  <c r="A1575" i="1"/>
  <c r="B1575" i="1"/>
  <c r="C1575" i="1"/>
  <c r="A1576" i="1"/>
  <c r="B1576" i="1"/>
  <c r="C1576" i="1"/>
  <c r="A1577" i="1"/>
  <c r="B1577" i="1"/>
  <c r="C1577" i="1"/>
  <c r="A1578" i="1"/>
  <c r="B1578" i="1"/>
  <c r="C1578" i="1"/>
  <c r="A1579" i="1"/>
  <c r="B1579" i="1"/>
  <c r="C1579" i="1"/>
  <c r="A1580" i="1"/>
  <c r="B1580" i="1"/>
  <c r="C1580" i="1"/>
  <c r="A1581" i="1"/>
  <c r="B1581" i="1"/>
  <c r="C1581" i="1"/>
  <c r="A1582" i="1"/>
  <c r="B1582" i="1"/>
  <c r="C1582" i="1"/>
  <c r="A1583" i="1"/>
  <c r="B1583" i="1"/>
  <c r="C1583" i="1"/>
  <c r="A1584" i="1"/>
  <c r="B1584" i="1"/>
  <c r="C1584" i="1"/>
  <c r="A1585" i="1"/>
  <c r="B1585" i="1"/>
  <c r="C1585" i="1"/>
  <c r="A1586" i="1"/>
  <c r="B1586" i="1"/>
  <c r="C1586" i="1"/>
  <c r="A1587" i="1"/>
  <c r="B1587" i="1"/>
  <c r="C1587" i="1"/>
  <c r="A1588" i="1"/>
  <c r="B1588" i="1"/>
  <c r="C1588" i="1"/>
  <c r="A1589" i="1"/>
  <c r="B1589" i="1"/>
  <c r="C1589" i="1"/>
  <c r="A1590" i="1"/>
  <c r="B1590" i="1"/>
  <c r="C1590" i="1"/>
  <c r="A1591" i="1"/>
  <c r="B1591" i="1"/>
  <c r="C1591" i="1"/>
  <c r="A1592" i="1"/>
  <c r="B1592" i="1"/>
  <c r="C1592" i="1"/>
  <c r="A1593" i="1"/>
  <c r="B1593" i="1"/>
  <c r="C1593" i="1"/>
  <c r="A1594" i="1"/>
  <c r="B1594" i="1"/>
  <c r="C1594" i="1"/>
  <c r="A1595" i="1"/>
  <c r="B1595" i="1"/>
  <c r="C1595" i="1"/>
  <c r="A1596" i="1"/>
  <c r="B1596" i="1"/>
  <c r="C1596" i="1"/>
  <c r="A1597" i="1"/>
  <c r="B1597" i="1"/>
  <c r="C1597" i="1"/>
  <c r="A1598" i="1"/>
  <c r="B1598" i="1"/>
  <c r="C1598" i="1"/>
  <c r="A1599" i="1"/>
  <c r="B1599" i="1"/>
  <c r="C1599" i="1"/>
  <c r="A1600" i="1"/>
  <c r="B1600" i="1"/>
  <c r="C1600" i="1"/>
  <c r="A1601" i="1"/>
  <c r="B1601" i="1"/>
  <c r="C1601" i="1"/>
  <c r="A1602" i="1"/>
  <c r="B1602" i="1"/>
  <c r="C1602" i="1"/>
  <c r="A1603" i="1"/>
  <c r="B1603" i="1"/>
  <c r="C1603" i="1"/>
  <c r="A1604" i="1"/>
  <c r="B1604" i="1"/>
  <c r="C1604" i="1"/>
  <c r="A1605" i="1"/>
  <c r="B1605" i="1"/>
  <c r="C1605" i="1"/>
  <c r="A1606" i="1"/>
  <c r="B1606" i="1"/>
  <c r="C1606" i="1"/>
  <c r="A1607" i="1"/>
  <c r="B1607" i="1"/>
  <c r="C1607" i="1"/>
  <c r="A1608" i="1"/>
  <c r="B1608" i="1"/>
  <c r="C1608" i="1"/>
  <c r="A1609" i="1"/>
  <c r="B1609" i="1"/>
  <c r="C1609" i="1"/>
  <c r="A1610" i="1"/>
  <c r="B1610" i="1"/>
  <c r="C1610" i="1"/>
  <c r="A1611" i="1"/>
  <c r="B1611" i="1"/>
  <c r="C1611" i="1"/>
  <c r="A1612" i="1"/>
  <c r="B1612" i="1"/>
  <c r="C1612" i="1"/>
  <c r="A1613" i="1"/>
  <c r="B1613" i="1"/>
  <c r="C1613" i="1"/>
  <c r="A1614" i="1"/>
  <c r="B1614" i="1"/>
  <c r="C1614" i="1"/>
  <c r="A1615" i="1"/>
  <c r="B1615" i="1"/>
  <c r="C1615" i="1"/>
  <c r="A1616" i="1"/>
  <c r="B1616" i="1"/>
  <c r="C1616" i="1"/>
  <c r="A1617" i="1"/>
  <c r="B1617" i="1"/>
  <c r="C1617" i="1"/>
  <c r="A1618" i="1"/>
  <c r="B1618" i="1"/>
  <c r="C1618" i="1"/>
  <c r="A1619" i="1"/>
  <c r="B1619" i="1"/>
  <c r="C1619" i="1"/>
  <c r="A1620" i="1"/>
  <c r="B1620" i="1"/>
  <c r="C1620" i="1"/>
  <c r="A1621" i="1"/>
  <c r="B1621" i="1"/>
  <c r="C1621" i="1"/>
  <c r="A1622" i="1"/>
  <c r="B1622" i="1"/>
  <c r="C1622" i="1"/>
  <c r="A1623" i="1"/>
  <c r="B1623" i="1"/>
  <c r="C1623" i="1"/>
  <c r="A1624" i="1"/>
  <c r="B1624" i="1"/>
  <c r="C1624" i="1"/>
  <c r="A1625" i="1"/>
  <c r="B1625" i="1"/>
  <c r="C1625" i="1"/>
  <c r="A1626" i="1"/>
  <c r="B1626" i="1"/>
  <c r="C1626" i="1"/>
  <c r="A1627" i="1"/>
  <c r="B1627" i="1"/>
  <c r="C1627" i="1"/>
  <c r="A1628" i="1"/>
  <c r="B1628" i="1"/>
  <c r="C1628" i="1"/>
  <c r="A1629" i="1"/>
  <c r="B1629" i="1"/>
  <c r="C1629" i="1"/>
  <c r="A1630" i="1"/>
  <c r="B1630" i="1"/>
  <c r="C1630" i="1"/>
  <c r="A1631" i="1"/>
  <c r="B1631" i="1"/>
  <c r="C1631" i="1"/>
  <c r="A1632" i="1"/>
  <c r="B1632" i="1"/>
  <c r="C1632" i="1"/>
  <c r="A1633" i="1"/>
  <c r="B1633" i="1"/>
  <c r="C1633" i="1"/>
  <c r="A1634" i="1"/>
  <c r="B1634" i="1"/>
  <c r="C1634" i="1"/>
  <c r="A1635" i="1"/>
  <c r="B1635" i="1"/>
  <c r="C1635" i="1"/>
  <c r="A1636" i="1"/>
  <c r="B1636" i="1"/>
  <c r="C1636" i="1"/>
  <c r="A1637" i="1"/>
  <c r="B1637" i="1"/>
  <c r="C1637" i="1"/>
  <c r="A1638" i="1"/>
  <c r="B1638" i="1"/>
  <c r="C1638" i="1"/>
  <c r="A1639" i="1"/>
  <c r="B1639" i="1"/>
  <c r="C1639" i="1"/>
  <c r="A1640" i="1"/>
  <c r="B1640" i="1"/>
  <c r="C1640" i="1"/>
  <c r="A1641" i="1"/>
  <c r="B1641" i="1"/>
  <c r="C1641" i="1"/>
  <c r="A1642" i="1"/>
  <c r="B1642" i="1"/>
  <c r="C1642" i="1"/>
  <c r="A1643" i="1"/>
  <c r="B1643" i="1"/>
  <c r="C1643" i="1"/>
  <c r="A1644" i="1"/>
  <c r="B1644" i="1"/>
  <c r="C1644" i="1"/>
  <c r="A1645" i="1"/>
  <c r="B1645" i="1"/>
  <c r="C1645" i="1"/>
  <c r="A1646" i="1"/>
  <c r="B1646" i="1"/>
  <c r="C1646" i="1"/>
  <c r="A1647" i="1"/>
  <c r="B1647" i="1"/>
  <c r="C1647" i="1"/>
  <c r="A1648" i="1"/>
  <c r="B1648" i="1"/>
  <c r="C1648" i="1"/>
  <c r="A1649" i="1"/>
  <c r="B1649" i="1"/>
  <c r="C1649" i="1"/>
  <c r="A1650" i="1"/>
  <c r="B1650" i="1"/>
  <c r="C1650" i="1"/>
  <c r="A1651" i="1"/>
  <c r="B1651" i="1"/>
  <c r="C1651" i="1"/>
  <c r="A1652" i="1"/>
  <c r="B1652" i="1"/>
  <c r="C1652" i="1"/>
  <c r="A1653" i="1"/>
  <c r="B1653" i="1"/>
  <c r="C1653" i="1"/>
  <c r="A1654" i="1"/>
  <c r="B1654" i="1"/>
  <c r="C1654" i="1"/>
  <c r="A1655" i="1"/>
  <c r="B1655" i="1"/>
  <c r="C1655" i="1"/>
  <c r="A1656" i="1"/>
  <c r="B1656" i="1"/>
  <c r="C1656" i="1"/>
  <c r="A1657" i="1"/>
  <c r="B1657" i="1"/>
  <c r="C1657" i="1"/>
  <c r="A1658" i="1"/>
  <c r="B1658" i="1"/>
  <c r="C1658" i="1"/>
  <c r="A1659" i="1"/>
  <c r="B1659" i="1"/>
  <c r="C1659" i="1"/>
  <c r="A1660" i="1"/>
  <c r="B1660" i="1"/>
  <c r="C1660" i="1"/>
  <c r="A1661" i="1"/>
  <c r="B1661" i="1"/>
  <c r="C1661" i="1"/>
  <c r="A1662" i="1"/>
  <c r="B1662" i="1"/>
  <c r="C1662" i="1"/>
  <c r="A1663" i="1"/>
  <c r="B1663" i="1"/>
  <c r="C1663" i="1"/>
  <c r="A1664" i="1"/>
  <c r="B1664" i="1"/>
  <c r="C1664" i="1"/>
  <c r="A1665" i="1"/>
  <c r="B1665" i="1"/>
  <c r="C1665" i="1"/>
  <c r="A1666" i="1"/>
  <c r="B1666" i="1"/>
  <c r="C1666" i="1"/>
  <c r="A1667" i="1"/>
  <c r="B1667" i="1"/>
  <c r="C1667" i="1"/>
  <c r="A1668" i="1"/>
  <c r="B1668" i="1"/>
  <c r="C1668" i="1"/>
  <c r="A1669" i="1"/>
  <c r="B1669" i="1"/>
  <c r="C1669" i="1"/>
  <c r="A1670" i="1"/>
  <c r="B1670" i="1"/>
  <c r="C1670" i="1"/>
  <c r="A1671" i="1"/>
  <c r="B1671" i="1"/>
  <c r="C1671" i="1"/>
  <c r="A1672" i="1"/>
  <c r="B1672" i="1"/>
  <c r="C1672" i="1"/>
  <c r="A1673" i="1"/>
  <c r="B1673" i="1"/>
  <c r="C1673" i="1"/>
  <c r="A1674" i="1"/>
  <c r="B1674" i="1"/>
  <c r="C1674" i="1"/>
  <c r="A1675" i="1"/>
  <c r="B1675" i="1"/>
  <c r="C1675" i="1"/>
  <c r="A1676" i="1"/>
  <c r="B1676" i="1"/>
  <c r="C1676" i="1"/>
  <c r="A1677" i="1"/>
  <c r="B1677" i="1"/>
  <c r="C1677" i="1"/>
  <c r="A1678" i="1"/>
  <c r="B1678" i="1"/>
  <c r="C1678" i="1"/>
  <c r="A1679" i="1"/>
  <c r="B1679" i="1"/>
  <c r="C1679" i="1"/>
  <c r="A1680" i="1"/>
  <c r="B1680" i="1"/>
  <c r="C1680" i="1"/>
  <c r="A1681" i="1"/>
  <c r="B1681" i="1"/>
  <c r="C1681" i="1"/>
  <c r="A1682" i="1"/>
  <c r="B1682" i="1"/>
  <c r="C1682" i="1"/>
  <c r="A1683" i="1"/>
  <c r="B1683" i="1"/>
  <c r="C1683" i="1"/>
  <c r="A1684" i="1"/>
  <c r="B1684" i="1"/>
  <c r="C1684" i="1"/>
  <c r="A1685" i="1"/>
  <c r="B1685" i="1"/>
  <c r="C1685" i="1"/>
  <c r="A1686" i="1"/>
  <c r="B1686" i="1"/>
  <c r="C1686" i="1"/>
  <c r="A1687" i="1"/>
  <c r="B1687" i="1"/>
  <c r="C1687" i="1"/>
  <c r="A1688" i="1"/>
  <c r="B1688" i="1"/>
  <c r="C1688" i="1"/>
  <c r="A1689" i="1"/>
  <c r="B1689" i="1"/>
  <c r="C1689" i="1"/>
  <c r="A1690" i="1"/>
  <c r="B1690" i="1"/>
  <c r="C1690" i="1"/>
  <c r="A1691" i="1"/>
  <c r="B1691" i="1"/>
  <c r="C1691" i="1"/>
  <c r="A1692" i="1"/>
  <c r="B1692" i="1"/>
  <c r="C1692" i="1"/>
  <c r="A1693" i="1"/>
  <c r="B1693" i="1"/>
  <c r="C1693" i="1"/>
  <c r="A1694" i="1"/>
  <c r="B1694" i="1"/>
  <c r="C1694" i="1"/>
  <c r="A1695" i="1"/>
  <c r="B1695" i="1"/>
  <c r="C1695" i="1"/>
  <c r="A1696" i="1"/>
  <c r="B1696" i="1"/>
  <c r="C1696" i="1"/>
  <c r="A1697" i="1"/>
  <c r="B1697" i="1"/>
  <c r="C1697" i="1"/>
  <c r="A1698" i="1"/>
  <c r="B1698" i="1"/>
  <c r="C1698" i="1"/>
  <c r="A1699" i="1"/>
  <c r="B1699" i="1"/>
  <c r="C1699" i="1"/>
  <c r="A1700" i="1"/>
  <c r="B1700" i="1"/>
  <c r="C1700" i="1"/>
  <c r="A1701" i="1"/>
  <c r="B1701" i="1"/>
  <c r="C1701" i="1"/>
  <c r="A1702" i="1"/>
  <c r="B1702" i="1"/>
  <c r="C1702" i="1"/>
  <c r="A1703" i="1"/>
  <c r="B1703" i="1"/>
  <c r="C1703" i="1"/>
  <c r="A1704" i="1"/>
  <c r="B1704" i="1"/>
  <c r="C1704" i="1"/>
  <c r="A1705" i="1"/>
  <c r="B1705" i="1"/>
  <c r="C1705" i="1"/>
  <c r="A1706" i="1"/>
  <c r="B1706" i="1"/>
  <c r="C1706" i="1"/>
  <c r="A1707" i="1"/>
  <c r="B1707" i="1"/>
  <c r="C1707" i="1"/>
  <c r="A1708" i="1"/>
  <c r="B1708" i="1"/>
  <c r="C1708" i="1"/>
  <c r="A1709" i="1"/>
  <c r="B1709" i="1"/>
  <c r="C1709" i="1"/>
  <c r="A1710" i="1"/>
  <c r="B1710" i="1"/>
  <c r="C1710" i="1"/>
  <c r="A1711" i="1"/>
  <c r="B1711" i="1"/>
  <c r="C1711" i="1"/>
  <c r="A1712" i="1"/>
  <c r="B1712" i="1"/>
  <c r="C1712" i="1"/>
  <c r="A1713" i="1"/>
  <c r="B1713" i="1"/>
  <c r="C1713" i="1"/>
  <c r="A1714" i="1"/>
  <c r="B1714" i="1"/>
  <c r="C1714" i="1"/>
  <c r="A1715" i="1"/>
  <c r="B1715" i="1"/>
  <c r="C1715" i="1"/>
  <c r="A1716" i="1"/>
  <c r="B1716" i="1"/>
  <c r="C1716" i="1"/>
  <c r="A1717" i="1"/>
  <c r="B1717" i="1"/>
  <c r="C1717" i="1"/>
  <c r="A1718" i="1"/>
  <c r="B1718" i="1"/>
  <c r="C1718" i="1"/>
  <c r="A1719" i="1"/>
  <c r="B1719" i="1"/>
  <c r="C1719" i="1"/>
  <c r="A1720" i="1"/>
  <c r="B1720" i="1"/>
  <c r="C1720" i="1"/>
  <c r="A1721" i="1"/>
  <c r="B1721" i="1"/>
  <c r="C1721" i="1"/>
  <c r="A1722" i="1"/>
  <c r="B1722" i="1"/>
  <c r="C1722" i="1"/>
  <c r="A1723" i="1"/>
  <c r="B1723" i="1"/>
  <c r="C1723" i="1"/>
  <c r="A1724" i="1"/>
  <c r="B1724" i="1"/>
  <c r="C1724" i="1"/>
  <c r="A1725" i="1"/>
  <c r="B1725" i="1"/>
  <c r="C1725" i="1"/>
  <c r="A1726" i="1"/>
  <c r="B1726" i="1"/>
  <c r="C1726" i="1"/>
  <c r="A1727" i="1"/>
  <c r="B1727" i="1"/>
  <c r="C1727" i="1"/>
  <c r="A1728" i="1"/>
  <c r="B1728" i="1"/>
  <c r="C1728" i="1"/>
  <c r="A1729" i="1"/>
  <c r="B1729" i="1"/>
  <c r="C1729" i="1"/>
  <c r="A1730" i="1"/>
  <c r="B1730" i="1"/>
  <c r="C1730" i="1"/>
  <c r="A1731" i="1"/>
  <c r="B1731" i="1"/>
  <c r="C1731" i="1"/>
  <c r="A1732" i="1"/>
  <c r="B1732" i="1"/>
  <c r="C1732" i="1"/>
  <c r="A1733" i="1"/>
  <c r="B1733" i="1"/>
  <c r="C1733" i="1"/>
  <c r="A1734" i="1"/>
  <c r="B1734" i="1"/>
  <c r="C1734" i="1"/>
  <c r="A1735" i="1"/>
  <c r="B1735" i="1"/>
  <c r="C1735" i="1"/>
  <c r="A1736" i="1"/>
  <c r="B1736" i="1"/>
  <c r="C1736" i="1"/>
  <c r="A1737" i="1"/>
  <c r="B1737" i="1"/>
  <c r="C1737" i="1"/>
  <c r="A1738" i="1"/>
  <c r="B1738" i="1"/>
  <c r="C1738" i="1"/>
  <c r="A1739" i="1"/>
  <c r="B1739" i="1"/>
  <c r="C1739" i="1"/>
  <c r="A1740" i="1"/>
  <c r="B1740" i="1"/>
  <c r="C1740" i="1"/>
  <c r="A1741" i="1"/>
  <c r="B1741" i="1"/>
  <c r="C1741" i="1"/>
  <c r="A1742" i="1"/>
  <c r="B1742" i="1"/>
  <c r="C1742" i="1"/>
  <c r="A1743" i="1"/>
  <c r="B1743" i="1"/>
  <c r="C1743" i="1"/>
  <c r="A1744" i="1"/>
  <c r="B1744" i="1"/>
  <c r="C1744" i="1"/>
  <c r="A1745" i="1"/>
  <c r="B1745" i="1"/>
  <c r="C1745" i="1"/>
  <c r="A1746" i="1"/>
  <c r="B1746" i="1"/>
  <c r="C1746" i="1"/>
  <c r="A1747" i="1"/>
  <c r="B1747" i="1"/>
  <c r="C1747" i="1"/>
  <c r="A1748" i="1"/>
  <c r="B1748" i="1"/>
  <c r="C1748" i="1"/>
  <c r="A1749" i="1"/>
  <c r="B1749" i="1"/>
  <c r="C1749" i="1"/>
  <c r="A1750" i="1"/>
  <c r="B1750" i="1"/>
  <c r="C1750" i="1"/>
  <c r="A1751" i="1"/>
  <c r="B1751" i="1"/>
  <c r="C1751" i="1"/>
  <c r="A1752" i="1"/>
  <c r="B1752" i="1"/>
  <c r="C1752" i="1"/>
  <c r="A1753" i="1"/>
  <c r="B1753" i="1"/>
  <c r="C1753" i="1"/>
  <c r="A1754" i="1"/>
  <c r="B1754" i="1"/>
  <c r="C1754" i="1"/>
  <c r="A1755" i="1"/>
  <c r="B1755" i="1"/>
  <c r="C1755" i="1"/>
  <c r="A1756" i="1"/>
  <c r="B1756" i="1"/>
  <c r="C1756" i="1"/>
  <c r="A1757" i="1"/>
  <c r="B1757" i="1"/>
  <c r="C1757" i="1"/>
  <c r="A1758" i="1"/>
  <c r="B1758" i="1"/>
  <c r="C1758" i="1"/>
  <c r="A1759" i="1"/>
  <c r="B1759" i="1"/>
  <c r="C1759" i="1"/>
  <c r="A1760" i="1"/>
  <c r="B1760" i="1"/>
  <c r="C1760" i="1"/>
  <c r="A1761" i="1"/>
  <c r="B1761" i="1"/>
  <c r="C1761" i="1"/>
  <c r="A1762" i="1"/>
  <c r="B1762" i="1"/>
  <c r="C1762" i="1"/>
  <c r="A1763" i="1"/>
  <c r="B1763" i="1"/>
  <c r="C1763" i="1"/>
  <c r="A1764" i="1"/>
  <c r="B1764" i="1"/>
  <c r="C1764" i="1"/>
  <c r="A1765" i="1"/>
  <c r="B1765" i="1"/>
  <c r="C1765" i="1"/>
  <c r="A1766" i="1"/>
  <c r="B1766" i="1"/>
  <c r="C1766" i="1"/>
  <c r="A1767" i="1"/>
  <c r="B1767" i="1"/>
  <c r="C1767" i="1"/>
  <c r="A1768" i="1"/>
  <c r="B1768" i="1"/>
  <c r="C1768" i="1"/>
  <c r="A1769" i="1"/>
  <c r="B1769" i="1"/>
  <c r="C1769" i="1"/>
  <c r="A1770" i="1"/>
  <c r="B1770" i="1"/>
  <c r="C1770" i="1"/>
  <c r="A1771" i="1"/>
  <c r="B1771" i="1"/>
  <c r="C1771" i="1"/>
  <c r="A1772" i="1"/>
  <c r="B1772" i="1"/>
  <c r="C1772" i="1"/>
  <c r="A1773" i="1"/>
  <c r="B1773" i="1"/>
  <c r="C1773" i="1"/>
  <c r="A1774" i="1"/>
  <c r="B1774" i="1"/>
  <c r="C1774" i="1"/>
  <c r="A1775" i="1"/>
  <c r="B1775" i="1"/>
  <c r="C1775" i="1"/>
  <c r="A1776" i="1"/>
  <c r="B1776" i="1"/>
  <c r="C1776" i="1"/>
  <c r="A1777" i="1"/>
  <c r="B1777" i="1"/>
  <c r="C1777" i="1"/>
  <c r="A1778" i="1"/>
  <c r="B1778" i="1"/>
  <c r="C1778" i="1"/>
  <c r="A1779" i="1"/>
  <c r="B1779" i="1"/>
  <c r="C1779" i="1"/>
  <c r="A1780" i="1"/>
  <c r="B1780" i="1"/>
  <c r="C1780" i="1"/>
  <c r="A1781" i="1"/>
  <c r="B1781" i="1"/>
  <c r="C1781" i="1"/>
  <c r="A1782" i="1"/>
  <c r="B1782" i="1"/>
  <c r="C1782" i="1"/>
  <c r="A1783" i="1"/>
  <c r="B1783" i="1"/>
  <c r="C1783" i="1"/>
  <c r="A1784" i="1"/>
  <c r="B1784" i="1"/>
  <c r="C1784" i="1"/>
  <c r="A1785" i="1"/>
  <c r="B1785" i="1"/>
  <c r="C1785" i="1"/>
  <c r="A1786" i="1"/>
  <c r="B1786" i="1"/>
  <c r="C1786" i="1"/>
  <c r="A1787" i="1"/>
  <c r="B1787" i="1"/>
  <c r="C1787" i="1"/>
  <c r="A1788" i="1"/>
  <c r="B1788" i="1"/>
  <c r="C1788" i="1"/>
  <c r="A1789" i="1"/>
  <c r="B1789" i="1"/>
  <c r="C1789" i="1"/>
  <c r="A1790" i="1"/>
  <c r="B1790" i="1"/>
  <c r="C1790" i="1"/>
  <c r="A1791" i="1"/>
  <c r="B1791" i="1"/>
  <c r="C1791" i="1"/>
  <c r="A1792" i="1"/>
  <c r="B1792" i="1"/>
  <c r="C1792" i="1"/>
  <c r="A1793" i="1"/>
  <c r="B1793" i="1"/>
  <c r="C1793" i="1"/>
  <c r="A1794" i="1"/>
  <c r="B1794" i="1"/>
  <c r="C1794" i="1"/>
  <c r="A1795" i="1"/>
  <c r="B1795" i="1"/>
  <c r="C1795" i="1"/>
  <c r="A1796" i="1"/>
  <c r="B1796" i="1"/>
  <c r="C1796" i="1"/>
  <c r="A1797" i="1"/>
  <c r="B1797" i="1"/>
  <c r="C1797" i="1"/>
  <c r="A1798" i="1"/>
  <c r="B1798" i="1"/>
  <c r="C1798" i="1"/>
  <c r="A1799" i="1"/>
  <c r="B1799" i="1"/>
  <c r="C1799" i="1"/>
  <c r="A1800" i="1"/>
  <c r="B1800" i="1"/>
  <c r="C1800" i="1"/>
  <c r="A1801" i="1"/>
  <c r="B1801" i="1"/>
  <c r="C1801" i="1"/>
  <c r="A1802" i="1"/>
  <c r="B1802" i="1"/>
  <c r="C1802" i="1"/>
  <c r="A1803" i="1"/>
  <c r="B1803" i="1"/>
  <c r="C1803" i="1"/>
  <c r="A1804" i="1"/>
  <c r="B1804" i="1"/>
  <c r="C1804" i="1"/>
  <c r="A1805" i="1"/>
  <c r="B1805" i="1"/>
  <c r="C1805" i="1"/>
  <c r="A1806" i="1"/>
  <c r="B1806" i="1"/>
  <c r="C1806" i="1"/>
  <c r="A1807" i="1"/>
  <c r="B1807" i="1"/>
  <c r="C1807" i="1"/>
  <c r="A1808" i="1"/>
  <c r="B1808" i="1"/>
  <c r="C1808" i="1"/>
  <c r="A1809" i="1"/>
  <c r="B1809" i="1"/>
  <c r="C1809" i="1"/>
  <c r="A1810" i="1"/>
  <c r="B1810" i="1"/>
  <c r="C1810" i="1"/>
  <c r="A1811" i="1"/>
  <c r="B1811" i="1"/>
  <c r="C1811" i="1"/>
  <c r="A1812" i="1"/>
  <c r="B1812" i="1"/>
  <c r="C1812" i="1"/>
  <c r="A1813" i="1"/>
  <c r="B1813" i="1"/>
  <c r="C1813" i="1"/>
  <c r="A1814" i="1"/>
  <c r="B1814" i="1"/>
  <c r="C1814" i="1"/>
  <c r="A1815" i="1"/>
  <c r="B1815" i="1"/>
  <c r="C1815" i="1"/>
  <c r="A1816" i="1"/>
  <c r="B1816" i="1"/>
  <c r="C1816" i="1"/>
  <c r="A1817" i="1"/>
  <c r="B1817" i="1"/>
  <c r="C1817" i="1"/>
  <c r="A1818" i="1"/>
  <c r="B1818" i="1"/>
  <c r="C1818" i="1"/>
  <c r="A1819" i="1"/>
  <c r="B1819" i="1"/>
  <c r="C1819" i="1"/>
  <c r="A1820" i="1"/>
  <c r="B1820" i="1"/>
  <c r="C1820" i="1"/>
  <c r="A1821" i="1"/>
  <c r="B1821" i="1"/>
  <c r="C1821" i="1"/>
  <c r="A1822" i="1"/>
  <c r="B1822" i="1"/>
  <c r="C1822" i="1"/>
  <c r="A1823" i="1"/>
  <c r="B1823" i="1"/>
  <c r="C1823" i="1"/>
  <c r="A1824" i="1"/>
  <c r="B1824" i="1"/>
  <c r="C1824" i="1"/>
  <c r="A1825" i="1"/>
  <c r="B1825" i="1"/>
  <c r="C1825" i="1"/>
  <c r="A1826" i="1"/>
  <c r="B1826" i="1"/>
  <c r="C1826" i="1"/>
  <c r="A1827" i="1"/>
  <c r="B1827" i="1"/>
  <c r="C1827" i="1"/>
  <c r="A1828" i="1"/>
  <c r="B1828" i="1"/>
  <c r="C1828" i="1"/>
  <c r="A1829" i="1"/>
  <c r="B1829" i="1"/>
  <c r="C1829" i="1"/>
  <c r="A1830" i="1"/>
  <c r="B1830" i="1"/>
  <c r="C1830" i="1"/>
  <c r="A1831" i="1"/>
  <c r="B1831" i="1"/>
  <c r="C1831" i="1"/>
  <c r="A1832" i="1"/>
  <c r="B1832" i="1"/>
  <c r="C1832" i="1"/>
  <c r="A1833" i="1"/>
  <c r="B1833" i="1"/>
  <c r="C1833" i="1"/>
  <c r="A1834" i="1"/>
  <c r="B1834" i="1"/>
  <c r="C1834" i="1"/>
  <c r="A1835" i="1"/>
  <c r="B1835" i="1"/>
  <c r="C1835" i="1"/>
  <c r="A1836" i="1"/>
  <c r="B1836" i="1"/>
  <c r="C1836" i="1"/>
  <c r="A1837" i="1"/>
  <c r="B1837" i="1"/>
  <c r="C1837" i="1"/>
  <c r="A1838" i="1"/>
  <c r="B1838" i="1"/>
  <c r="C1838" i="1"/>
  <c r="A1839" i="1"/>
  <c r="B1839" i="1"/>
  <c r="C1839" i="1"/>
  <c r="A1840" i="1"/>
  <c r="B1840" i="1"/>
  <c r="C1840" i="1"/>
  <c r="A1841" i="1"/>
  <c r="B1841" i="1"/>
  <c r="C1841" i="1"/>
  <c r="A1842" i="1"/>
  <c r="B1842" i="1"/>
  <c r="C1842" i="1"/>
  <c r="A1843" i="1"/>
  <c r="B1843" i="1"/>
  <c r="C1843" i="1"/>
  <c r="A1844" i="1"/>
  <c r="B1844" i="1"/>
  <c r="C1844" i="1"/>
  <c r="A1845" i="1"/>
  <c r="B1845" i="1"/>
  <c r="C1845" i="1"/>
  <c r="A1846" i="1"/>
  <c r="B1846" i="1"/>
  <c r="C1846" i="1"/>
  <c r="A1847" i="1"/>
  <c r="B1847" i="1"/>
  <c r="C1847" i="1"/>
  <c r="A1848" i="1"/>
  <c r="B1848" i="1"/>
  <c r="C1848" i="1"/>
  <c r="A1849" i="1"/>
  <c r="B1849" i="1"/>
  <c r="C1849" i="1"/>
  <c r="A1850" i="1"/>
  <c r="B1850" i="1"/>
  <c r="C1850" i="1"/>
  <c r="A1851" i="1"/>
  <c r="B1851" i="1"/>
  <c r="C1851" i="1"/>
  <c r="A1852" i="1"/>
  <c r="B1852" i="1"/>
  <c r="C1852" i="1"/>
  <c r="A1853" i="1"/>
  <c r="B1853" i="1"/>
  <c r="C1853" i="1"/>
  <c r="A1854" i="1"/>
  <c r="B1854" i="1"/>
  <c r="C1854" i="1"/>
  <c r="A1855" i="1"/>
  <c r="B1855" i="1"/>
  <c r="C1855" i="1"/>
  <c r="A1856" i="1"/>
  <c r="B1856" i="1"/>
  <c r="C1856" i="1"/>
  <c r="A1857" i="1"/>
  <c r="B1857" i="1"/>
  <c r="C1857" i="1"/>
  <c r="A1858" i="1"/>
  <c r="B1858" i="1"/>
  <c r="C1858" i="1"/>
  <c r="A1859" i="1"/>
  <c r="B1859" i="1"/>
  <c r="C1859" i="1"/>
  <c r="A1860" i="1"/>
  <c r="B1860" i="1"/>
  <c r="C1860" i="1"/>
  <c r="A1861" i="1"/>
  <c r="B1861" i="1"/>
  <c r="C1861" i="1"/>
  <c r="A1862" i="1"/>
  <c r="B1862" i="1"/>
  <c r="C1862" i="1"/>
  <c r="A1863" i="1"/>
  <c r="B1863" i="1"/>
  <c r="C1863" i="1"/>
  <c r="A1864" i="1"/>
  <c r="B1864" i="1"/>
  <c r="C1864" i="1"/>
  <c r="A1865" i="1"/>
  <c r="B1865" i="1"/>
  <c r="C1865" i="1"/>
  <c r="A1866" i="1"/>
  <c r="B1866" i="1"/>
  <c r="C1866" i="1"/>
  <c r="A1867" i="1"/>
  <c r="B1867" i="1"/>
  <c r="C1867" i="1"/>
  <c r="A1868" i="1"/>
  <c r="B1868" i="1"/>
  <c r="C1868" i="1"/>
  <c r="A1869" i="1"/>
  <c r="B1869" i="1"/>
  <c r="C1869" i="1"/>
  <c r="A1870" i="1"/>
  <c r="B1870" i="1"/>
  <c r="C1870" i="1"/>
  <c r="A1871" i="1"/>
  <c r="B1871" i="1"/>
  <c r="C1871" i="1"/>
  <c r="A1872" i="1"/>
  <c r="B1872" i="1"/>
  <c r="C1872" i="1"/>
  <c r="A1873" i="1"/>
  <c r="B1873" i="1"/>
  <c r="C1873" i="1"/>
  <c r="A1874" i="1"/>
  <c r="B1874" i="1"/>
  <c r="C1874" i="1"/>
  <c r="A1875" i="1"/>
  <c r="B1875" i="1"/>
  <c r="C1875" i="1"/>
  <c r="A1876" i="1"/>
  <c r="B1876" i="1"/>
  <c r="C1876" i="1"/>
  <c r="A1877" i="1"/>
  <c r="B1877" i="1"/>
  <c r="C1877" i="1"/>
  <c r="A1878" i="1"/>
  <c r="B1878" i="1"/>
  <c r="C1878" i="1"/>
  <c r="A1879" i="1"/>
  <c r="B1879" i="1"/>
  <c r="C1879" i="1"/>
  <c r="A1880" i="1"/>
  <c r="B1880" i="1"/>
  <c r="C1880" i="1"/>
  <c r="A1881" i="1"/>
  <c r="B1881" i="1"/>
  <c r="C1881" i="1"/>
  <c r="A1882" i="1"/>
  <c r="B1882" i="1"/>
  <c r="C1882" i="1"/>
  <c r="A1883" i="1"/>
  <c r="B1883" i="1"/>
  <c r="C1883" i="1"/>
  <c r="A1884" i="1"/>
  <c r="B1884" i="1"/>
  <c r="C1884" i="1"/>
  <c r="A1885" i="1"/>
  <c r="B1885" i="1"/>
  <c r="C1885" i="1"/>
  <c r="A1886" i="1"/>
  <c r="B1886" i="1"/>
  <c r="C1886" i="1"/>
  <c r="A1887" i="1"/>
  <c r="B1887" i="1"/>
  <c r="C1887" i="1"/>
  <c r="A1888" i="1"/>
  <c r="B1888" i="1"/>
  <c r="C1888" i="1"/>
  <c r="A1889" i="1"/>
  <c r="B1889" i="1"/>
  <c r="C1889" i="1"/>
  <c r="A1890" i="1"/>
  <c r="B1890" i="1"/>
  <c r="C1890" i="1"/>
  <c r="A1891" i="1"/>
  <c r="B1891" i="1"/>
  <c r="C1891" i="1"/>
  <c r="A1892" i="1"/>
  <c r="B1892" i="1"/>
  <c r="C1892" i="1"/>
  <c r="A1893" i="1"/>
  <c r="B1893" i="1"/>
  <c r="C1893" i="1"/>
  <c r="A1894" i="1"/>
  <c r="B1894" i="1"/>
  <c r="C1894" i="1"/>
  <c r="A1895" i="1"/>
  <c r="B1895" i="1"/>
  <c r="C1895" i="1"/>
  <c r="A1896" i="1"/>
  <c r="B1896" i="1"/>
  <c r="C1896" i="1"/>
  <c r="A1897" i="1"/>
  <c r="B1897" i="1"/>
  <c r="C1897" i="1"/>
  <c r="A1898" i="1"/>
  <c r="B1898" i="1"/>
  <c r="C1898" i="1"/>
  <c r="A1899" i="1"/>
  <c r="B1899" i="1"/>
  <c r="C1899" i="1"/>
  <c r="A1900" i="1"/>
  <c r="B1900" i="1"/>
  <c r="C1900" i="1"/>
  <c r="A1901" i="1"/>
  <c r="B1901" i="1"/>
  <c r="C1901" i="1"/>
  <c r="A1902" i="1"/>
  <c r="B1902" i="1"/>
  <c r="C1902" i="1"/>
  <c r="A1903" i="1"/>
  <c r="B1903" i="1"/>
  <c r="C1903" i="1"/>
  <c r="A1904" i="1"/>
  <c r="B1904" i="1"/>
  <c r="C1904" i="1"/>
  <c r="A1905" i="1"/>
  <c r="B1905" i="1"/>
  <c r="C1905" i="1"/>
  <c r="A1906" i="1"/>
  <c r="B1906" i="1"/>
  <c r="C1906" i="1"/>
  <c r="A1907" i="1"/>
  <c r="B1907" i="1"/>
  <c r="C1907" i="1"/>
  <c r="A1908" i="1"/>
  <c r="B1908" i="1"/>
  <c r="C1908" i="1"/>
  <c r="A1909" i="1"/>
  <c r="B1909" i="1"/>
  <c r="C1909" i="1"/>
  <c r="A1910" i="1"/>
  <c r="B1910" i="1"/>
  <c r="C1910" i="1"/>
  <c r="A1911" i="1"/>
  <c r="B1911" i="1"/>
  <c r="C1911" i="1"/>
  <c r="A1912" i="1"/>
  <c r="B1912" i="1"/>
  <c r="C1912" i="1"/>
  <c r="A1913" i="1"/>
  <c r="B1913" i="1"/>
  <c r="C1913" i="1"/>
  <c r="A1914" i="1"/>
  <c r="B1914" i="1"/>
  <c r="C1914" i="1"/>
  <c r="A1915" i="1"/>
  <c r="B1915" i="1"/>
  <c r="C1915" i="1"/>
  <c r="A1916" i="1"/>
  <c r="B1916" i="1"/>
  <c r="C1916" i="1"/>
  <c r="A1917" i="1"/>
  <c r="B1917" i="1"/>
  <c r="C1917" i="1"/>
  <c r="A1918" i="1"/>
  <c r="B1918" i="1"/>
  <c r="C1918" i="1"/>
  <c r="A1919" i="1"/>
  <c r="B1919" i="1"/>
  <c r="C1919" i="1"/>
  <c r="A1920" i="1"/>
  <c r="B1920" i="1"/>
  <c r="C1920" i="1"/>
  <c r="A1921" i="1"/>
  <c r="B1921" i="1"/>
  <c r="C1921" i="1"/>
  <c r="A1922" i="1"/>
  <c r="B1922" i="1"/>
  <c r="C1922" i="1"/>
  <c r="A1923" i="1"/>
  <c r="B1923" i="1"/>
  <c r="C1923" i="1"/>
  <c r="A1924" i="1"/>
  <c r="B1924" i="1"/>
  <c r="C1924" i="1"/>
  <c r="A1925" i="1"/>
  <c r="B1925" i="1"/>
  <c r="C1925" i="1"/>
  <c r="A1926" i="1"/>
  <c r="B1926" i="1"/>
  <c r="C1926" i="1"/>
  <c r="A1927" i="1"/>
  <c r="B1927" i="1"/>
  <c r="C1927" i="1"/>
  <c r="A1928" i="1"/>
  <c r="B1928" i="1"/>
  <c r="C1928" i="1"/>
  <c r="A1929" i="1"/>
  <c r="B1929" i="1"/>
  <c r="C1929" i="1"/>
  <c r="A1930" i="1"/>
  <c r="B1930" i="1"/>
  <c r="C1930" i="1"/>
  <c r="A1931" i="1"/>
  <c r="B1931" i="1"/>
  <c r="C1931" i="1"/>
  <c r="A1932" i="1"/>
  <c r="B1932" i="1"/>
  <c r="C1932" i="1"/>
  <c r="A1933" i="1"/>
  <c r="B1933" i="1"/>
  <c r="C1933" i="1"/>
  <c r="A1934" i="1"/>
  <c r="B1934" i="1"/>
  <c r="C1934" i="1"/>
  <c r="A1935" i="1"/>
  <c r="B1935" i="1"/>
  <c r="C1935" i="1"/>
  <c r="A1936" i="1"/>
  <c r="B1936" i="1"/>
  <c r="C1936" i="1"/>
  <c r="A1937" i="1"/>
  <c r="B1937" i="1"/>
  <c r="C1937" i="1"/>
  <c r="A1938" i="1"/>
  <c r="B1938" i="1"/>
  <c r="C1938" i="1"/>
  <c r="A1939" i="1"/>
  <c r="B1939" i="1"/>
  <c r="C1939" i="1"/>
  <c r="A1940" i="1"/>
  <c r="B1940" i="1"/>
  <c r="C1940" i="1"/>
  <c r="A1941" i="1"/>
  <c r="B1941" i="1"/>
  <c r="C1941" i="1"/>
  <c r="A1942" i="1"/>
  <c r="B1942" i="1"/>
  <c r="C1942" i="1"/>
  <c r="A1943" i="1"/>
  <c r="B1943" i="1"/>
  <c r="C1943" i="1"/>
  <c r="A1944" i="1"/>
  <c r="B1944" i="1"/>
  <c r="C1944" i="1"/>
  <c r="A1945" i="1"/>
  <c r="B1945" i="1"/>
  <c r="C1945" i="1"/>
  <c r="A1946" i="1"/>
  <c r="B1946" i="1"/>
  <c r="C1946" i="1"/>
  <c r="A1947" i="1"/>
  <c r="B1947" i="1"/>
  <c r="C1947" i="1"/>
  <c r="A1948" i="1"/>
  <c r="B1948" i="1"/>
  <c r="C1948" i="1"/>
  <c r="A1949" i="1"/>
  <c r="B1949" i="1"/>
  <c r="C1949" i="1"/>
  <c r="A1950" i="1"/>
  <c r="B1950" i="1"/>
  <c r="C1950" i="1"/>
  <c r="A1951" i="1"/>
  <c r="B1951" i="1"/>
  <c r="C1951" i="1"/>
  <c r="A1952" i="1"/>
  <c r="B1952" i="1"/>
  <c r="C1952" i="1"/>
  <c r="A1953" i="1"/>
  <c r="B1953" i="1"/>
  <c r="C1953" i="1"/>
  <c r="A1954" i="1"/>
  <c r="B1954" i="1"/>
  <c r="C1954" i="1"/>
  <c r="A1955" i="1"/>
  <c r="B1955" i="1"/>
  <c r="C1955" i="1"/>
  <c r="A1956" i="1"/>
  <c r="B1956" i="1"/>
  <c r="C1956" i="1"/>
  <c r="A1957" i="1"/>
  <c r="B1957" i="1"/>
  <c r="C1957" i="1"/>
  <c r="A1958" i="1"/>
  <c r="B1958" i="1"/>
  <c r="C1958" i="1"/>
  <c r="A1959" i="1"/>
  <c r="B1959" i="1"/>
  <c r="C1959" i="1"/>
  <c r="A1960" i="1"/>
  <c r="B1960" i="1"/>
  <c r="C1960" i="1"/>
  <c r="A1961" i="1"/>
  <c r="B1961" i="1"/>
  <c r="C1961" i="1"/>
  <c r="A1962" i="1"/>
  <c r="B1962" i="1"/>
  <c r="C1962" i="1"/>
  <c r="A1963" i="1"/>
  <c r="B1963" i="1"/>
  <c r="C1963" i="1"/>
  <c r="A1964" i="1"/>
  <c r="B1964" i="1"/>
  <c r="C1964" i="1"/>
  <c r="A1965" i="1"/>
  <c r="B1965" i="1"/>
  <c r="C1965" i="1"/>
  <c r="A1966" i="1"/>
  <c r="B1966" i="1"/>
  <c r="C1966" i="1"/>
  <c r="A1967" i="1"/>
  <c r="B1967" i="1"/>
  <c r="C1967" i="1"/>
  <c r="A1968" i="1"/>
  <c r="B1968" i="1"/>
  <c r="C1968" i="1"/>
  <c r="A1969" i="1"/>
  <c r="B1969" i="1"/>
  <c r="C1969" i="1"/>
  <c r="A1970" i="1"/>
  <c r="B1970" i="1"/>
  <c r="C1970" i="1"/>
  <c r="A1971" i="1"/>
  <c r="B1971" i="1"/>
  <c r="C1971" i="1"/>
  <c r="A1972" i="1"/>
  <c r="B1972" i="1"/>
  <c r="C1972" i="1"/>
  <c r="A1973" i="1"/>
  <c r="B1973" i="1"/>
  <c r="C1973" i="1"/>
  <c r="A1974" i="1"/>
  <c r="B1974" i="1"/>
  <c r="C1974" i="1"/>
  <c r="A1975" i="1"/>
  <c r="B1975" i="1"/>
  <c r="C1975" i="1"/>
</calcChain>
</file>

<file path=xl/sharedStrings.xml><?xml version="1.0" encoding="utf-8"?>
<sst xmlns="http://schemas.openxmlformats.org/spreadsheetml/2006/main" count="6" uniqueCount="6">
  <si>
    <t>Artikelnr</t>
  </si>
  <si>
    <t>Bezeichnung</t>
  </si>
  <si>
    <t>Katalogseite</t>
  </si>
  <si>
    <r>
      <rPr>
        <b/>
        <sz val="9"/>
        <color theme="1"/>
        <rFont val="Calibri"/>
        <family val="2"/>
        <scheme val="minor"/>
      </rPr>
      <t>A.L.S. GmbH</t>
    </r>
    <r>
      <rPr>
        <sz val="9"/>
        <color theme="1"/>
        <rFont val="Calibri"/>
        <family val="2"/>
        <scheme val="minor"/>
      </rPr>
      <t xml:space="preserve">
Mastorterstr. 31
D-88069 Tettnang
Tel.: +49 (0) 7542 9344 0
Fax: +49 (0) 7542 9344 30
Email: info@als.de
www.als.de</t>
    </r>
  </si>
  <si>
    <t xml:space="preserve">€ </t>
  </si>
  <si>
    <r>
      <t xml:space="preserve">Preisliste </t>
    </r>
    <r>
      <rPr>
        <b/>
        <sz val="11"/>
        <color theme="0" tint="-0.499984740745262"/>
        <rFont val="Calibri"/>
        <family val="2"/>
        <scheme val="minor"/>
      </rPr>
      <t>| Pricelist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A.L.S INDOOR/OUTDOOR 2020</t>
    </r>
    <r>
      <rPr>
        <b/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Gültig ab </t>
    </r>
    <r>
      <rPr>
        <sz val="9"/>
        <color theme="0" tint="-0.499984740745262"/>
        <rFont val="Calibri"/>
        <family val="2"/>
        <scheme val="minor"/>
      </rPr>
      <t>| vaild from</t>
    </r>
    <r>
      <rPr>
        <sz val="9"/>
        <color theme="1"/>
        <rFont val="Calibri"/>
        <family val="2"/>
        <scheme val="minor"/>
      </rPr>
      <t xml:space="preserve">: 01.08.2019
Alle Preise zzgl. der gültigen MwSt. | </t>
    </r>
    <r>
      <rPr>
        <sz val="9"/>
        <color theme="0" tint="-0.499984740745262"/>
        <rFont val="Calibri"/>
        <family val="2"/>
        <scheme val="minor"/>
      </rPr>
      <t xml:space="preserve">All prices plus VAT
</t>
    </r>
    <r>
      <rPr>
        <sz val="9"/>
        <color theme="1"/>
        <rFont val="Calibri"/>
        <family val="2"/>
        <scheme val="minor"/>
      </rPr>
      <t xml:space="preserve">Änderungen vorbehalten, für eventuelle Fehler übernehmen wir keine Haftung |
</t>
    </r>
    <r>
      <rPr>
        <sz val="9"/>
        <color theme="0" tint="-0.499984740745262"/>
        <rFont val="Calibri"/>
        <family val="2"/>
        <scheme val="minor"/>
      </rPr>
      <t xml:space="preserve">Subject to change without notice, we assume no liability for any error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</si>
</sst>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5"/>
  <sheetViews>
    <sheetView tabSelected="1" topLeftCell="A1445" workbookViewId="0">
      <selection activeCell="B1484" sqref="B1484"/>
    </sheetView>
  </sheetViews>
  <sheetFormatPr baseColWidth="10" defaultRowHeight="15" x14ac:dyDescent="0.25"/>
  <cols>
    <col min="1" max="1" width="31.5703125" bestFit="1" customWidth="1"/>
    <col min="2" max="2" width="81.5703125" bestFit="1" customWidth="1"/>
    <col min="3" max="3" width="12.28515625" bestFit="1" customWidth="1"/>
    <col min="4" max="4" width="8.140625" style="1" bestFit="1" customWidth="1"/>
  </cols>
  <sheetData>
    <row r="1" spans="1:5" ht="94.5" customHeight="1" x14ac:dyDescent="0.25">
      <c r="A1" s="4" t="s">
        <v>5</v>
      </c>
      <c r="B1" s="4"/>
      <c r="C1" s="5" t="s">
        <v>3</v>
      </c>
      <c r="D1" s="5"/>
      <c r="E1" s="5"/>
    </row>
    <row r="3" spans="1:5" x14ac:dyDescent="0.25">
      <c r="A3" s="2" t="s">
        <v>0</v>
      </c>
      <c r="B3" s="2" t="s">
        <v>1</v>
      </c>
      <c r="C3" s="2" t="s">
        <v>2</v>
      </c>
      <c r="D3" s="3" t="s">
        <v>4</v>
      </c>
    </row>
    <row r="4" spans="1:5" x14ac:dyDescent="0.25">
      <c r="A4" t="str">
        <f>"A-K3POWER"</f>
        <v>A-K3POWER</v>
      </c>
      <c r="B4" t="str">
        <f>"1193 Edelstahlplatte mit Bodenanker für K3 POWER, inkl. Gelenkbügel"</f>
        <v>1193 Edelstahlplatte mit Bodenanker für K3 POWER, inkl. Gelenkbügel</v>
      </c>
      <c r="C4" t="str">
        <f>"193"</f>
        <v>193</v>
      </c>
      <c r="D4" s="1">
        <v>120</v>
      </c>
    </row>
    <row r="5" spans="1:5" x14ac:dyDescent="0.25">
      <c r="A5" t="str">
        <f>"ALT-5CW0"</f>
        <v>ALT-5CW0</v>
      </c>
      <c r="B5" t="str">
        <f>"MINI ALTEA DEKO, 5 x 0,12W kaltweiss"</f>
        <v>MINI ALTEA DEKO, 5 x 0,12W kaltweiss</v>
      </c>
      <c r="C5" t="str">
        <f>"215"</f>
        <v>215</v>
      </c>
      <c r="D5" s="1">
        <v>112.5</v>
      </c>
    </row>
    <row r="6" spans="1:5" x14ac:dyDescent="0.25">
      <c r="A6" t="str">
        <f>"ALT-5WW0"</f>
        <v>ALT-5WW0</v>
      </c>
      <c r="B6" t="str">
        <f>"MINI ALTEA DEKO, 5 x 0,12W warmweiss"</f>
        <v>MINI ALTEA DEKO, 5 x 0,12W warmweiss</v>
      </c>
      <c r="C6" t="str">
        <f>"215"</f>
        <v>215</v>
      </c>
      <c r="D6" s="1">
        <v>112.5</v>
      </c>
    </row>
    <row r="7" spans="1:5" x14ac:dyDescent="0.25">
      <c r="A7" t="str">
        <f>"A-MATI"</f>
        <v>A-MATI</v>
      </c>
      <c r="B7" t="str">
        <f>"Befestigungsplatte mit Fixierhaken für MATITA Pollerleuchte"</f>
        <v>Befestigungsplatte mit Fixierhaken für MATITA Pollerleuchte</v>
      </c>
      <c r="C7" t="str">
        <f>"225"</f>
        <v>225</v>
      </c>
      <c r="D7" s="1">
        <v>43.5</v>
      </c>
    </row>
    <row r="8" spans="1:5" x14ac:dyDescent="0.25">
      <c r="A8" t="str">
        <f>"A-MDK7606"</f>
        <v>A-MDK7606</v>
      </c>
      <c r="B8" t="str">
        <f>"Doppelte Halterung für MIRON Wandleuchte, kurz, 2x150 mm, anthrazit"</f>
        <v>Doppelte Halterung für MIRON Wandleuchte, kurz, 2x150 mm, anthrazit</v>
      </c>
      <c r="C8" t="str">
        <f t="shared" ref="C8:C15" si="0">"227"</f>
        <v>227</v>
      </c>
      <c r="D8" s="1">
        <v>155</v>
      </c>
    </row>
    <row r="9" spans="1:5" x14ac:dyDescent="0.25">
      <c r="A9" t="str">
        <f>"A-MDK7607"</f>
        <v>A-MDK7607</v>
      </c>
      <c r="B9" t="str">
        <f>"Doppelte Halterung für MIRON Wandleuchte, kurz, 2x150 mm, metallgrau"</f>
        <v>Doppelte Halterung für MIRON Wandleuchte, kurz, 2x150 mm, metallgrau</v>
      </c>
      <c r="C9" t="str">
        <f t="shared" si="0"/>
        <v>227</v>
      </c>
      <c r="D9" s="1">
        <v>155</v>
      </c>
    </row>
    <row r="10" spans="1:5" x14ac:dyDescent="0.25">
      <c r="A10" t="str">
        <f>"A-MDL7606"</f>
        <v>A-MDL7606</v>
      </c>
      <c r="B10" t="str">
        <f>"Doppelte Halterung für MIRON Wandleuchte, lang, 2x400 mm, anthrazit"</f>
        <v>Doppelte Halterung für MIRON Wandleuchte, lang, 2x400 mm, anthrazit</v>
      </c>
      <c r="C10" t="str">
        <f t="shared" si="0"/>
        <v>227</v>
      </c>
      <c r="D10" s="1">
        <v>335</v>
      </c>
    </row>
    <row r="11" spans="1:5" x14ac:dyDescent="0.25">
      <c r="A11" t="str">
        <f>"A-MDL7607"</f>
        <v>A-MDL7607</v>
      </c>
      <c r="B11" t="str">
        <f>"Doppelte Halterung für MIRON Wandleuchte, lang, 2x400 mm, metallgrau"</f>
        <v>Doppelte Halterung für MIRON Wandleuchte, lang, 2x400 mm, metallgrau</v>
      </c>
      <c r="C11" t="str">
        <f t="shared" si="0"/>
        <v>227</v>
      </c>
      <c r="D11" s="1">
        <v>335</v>
      </c>
    </row>
    <row r="12" spans="1:5" x14ac:dyDescent="0.25">
      <c r="A12" t="str">
        <f>"A-MEK7606"</f>
        <v>A-MEK7606</v>
      </c>
      <c r="B12" t="str">
        <f>"Einfache Halterung für MIRON Wandleuchte, kurz, 150 mm, anthrazit"</f>
        <v>Einfache Halterung für MIRON Wandleuchte, kurz, 150 mm, anthrazit</v>
      </c>
      <c r="C12" t="str">
        <f t="shared" si="0"/>
        <v>227</v>
      </c>
      <c r="D12" s="1">
        <v>82</v>
      </c>
    </row>
    <row r="13" spans="1:5" x14ac:dyDescent="0.25">
      <c r="A13" t="str">
        <f>"A-MEK7607"</f>
        <v>A-MEK7607</v>
      </c>
      <c r="B13" t="str">
        <f>"Einfache Halterung für MIRON Wandleuchte, kurz, 150 mm, metallgrau"</f>
        <v>Einfache Halterung für MIRON Wandleuchte, kurz, 150 mm, metallgrau</v>
      </c>
      <c r="C13" t="str">
        <f t="shared" si="0"/>
        <v>227</v>
      </c>
      <c r="D13" s="1">
        <v>82</v>
      </c>
    </row>
    <row r="14" spans="1:5" x14ac:dyDescent="0.25">
      <c r="A14" t="str">
        <f>"A-MEL7606"</f>
        <v>A-MEL7606</v>
      </c>
      <c r="B14" t="str">
        <f>"Einfache Halterung für MIRON Wandleuchte, lang, 400 mm, anthrazit"</f>
        <v>Einfache Halterung für MIRON Wandleuchte, lang, 400 mm, anthrazit</v>
      </c>
      <c r="C14" t="str">
        <f t="shared" si="0"/>
        <v>227</v>
      </c>
      <c r="D14" s="1">
        <v>167.5</v>
      </c>
    </row>
    <row r="15" spans="1:5" x14ac:dyDescent="0.25">
      <c r="A15" t="str">
        <f>"A-MEL7607"</f>
        <v>A-MEL7607</v>
      </c>
      <c r="B15" t="str">
        <f>"Einfache Halterung für MIRON Wandleuchte, lang, 400 mm, metallgrau"</f>
        <v>Einfache Halterung für MIRON Wandleuchte, lang, 400 mm, metallgrau</v>
      </c>
      <c r="C15" t="str">
        <f t="shared" si="0"/>
        <v>227</v>
      </c>
      <c r="D15" s="1">
        <v>167.5</v>
      </c>
    </row>
    <row r="16" spans="1:5" x14ac:dyDescent="0.25">
      <c r="A16" t="str">
        <f>"APL-13NW01"</f>
        <v>APL-13NW01</v>
      </c>
      <c r="B16" t="str">
        <f>"APL Deckenanbauleuchte, LED, 14,5W, 4000K, Gehäuse weiß"</f>
        <v>APL Deckenanbauleuchte, LED, 14,5W, 4000K, Gehäuse weiß</v>
      </c>
      <c r="C16" t="str">
        <f t="shared" ref="C16:C31" si="1">"137"</f>
        <v>137</v>
      </c>
      <c r="D16" s="1">
        <v>130</v>
      </c>
    </row>
    <row r="17" spans="1:4" x14ac:dyDescent="0.25">
      <c r="A17" t="str">
        <f>"APL-13NW02"</f>
        <v>APL-13NW02</v>
      </c>
      <c r="B17" t="str">
        <f>"APL Deckenanbauleuchte, LED, 14,5W, 4000K, Gehäuse schwarz"</f>
        <v>APL Deckenanbauleuchte, LED, 14,5W, 4000K, Gehäuse schwarz</v>
      </c>
      <c r="C17" t="str">
        <f t="shared" si="1"/>
        <v>137</v>
      </c>
      <c r="D17" s="1">
        <v>130</v>
      </c>
    </row>
    <row r="18" spans="1:4" x14ac:dyDescent="0.25">
      <c r="A18" t="str">
        <f>"APL-13NW31"</f>
        <v>APL-13NW31</v>
      </c>
      <c r="B18" t="str">
        <f>"APL Pendelleuchte, LED, 14,5W, 4000K, Gehäuse weiß"</f>
        <v>APL Pendelleuchte, LED, 14,5W, 4000K, Gehäuse weiß</v>
      </c>
      <c r="C18" t="str">
        <f t="shared" si="1"/>
        <v>137</v>
      </c>
      <c r="D18" s="1">
        <v>155</v>
      </c>
    </row>
    <row r="19" spans="1:4" x14ac:dyDescent="0.25">
      <c r="A19" t="str">
        <f>"APL-13NW32"</f>
        <v>APL-13NW32</v>
      </c>
      <c r="B19" t="str">
        <f>"APL Pendelleuchte, LED, 14,5W, 4000K, Gehäuse schwarz"</f>
        <v>APL Pendelleuchte, LED, 14,5W, 4000K, Gehäuse schwarz</v>
      </c>
      <c r="C19" t="str">
        <f t="shared" si="1"/>
        <v>137</v>
      </c>
      <c r="D19" s="1">
        <v>155</v>
      </c>
    </row>
    <row r="20" spans="1:4" x14ac:dyDescent="0.25">
      <c r="A20" t="str">
        <f>"APL-13WW01"</f>
        <v>APL-13WW01</v>
      </c>
      <c r="B20" t="str">
        <f>"APL Deckenanbauleuchte, LED, 14,5W, 3000K, Gehäuse weiß"</f>
        <v>APL Deckenanbauleuchte, LED, 14,5W, 3000K, Gehäuse weiß</v>
      </c>
      <c r="C20" t="str">
        <f t="shared" si="1"/>
        <v>137</v>
      </c>
      <c r="D20" s="1">
        <v>130</v>
      </c>
    </row>
    <row r="21" spans="1:4" x14ac:dyDescent="0.25">
      <c r="A21" t="str">
        <f>"APL-13WW02"</f>
        <v>APL-13WW02</v>
      </c>
      <c r="B21" t="str">
        <f>"APL Deckenanbauleuchte, LED, 14,5W, 3000K, Gehäuse schwarz"</f>
        <v>APL Deckenanbauleuchte, LED, 14,5W, 3000K, Gehäuse schwarz</v>
      </c>
      <c r="C21" t="str">
        <f t="shared" si="1"/>
        <v>137</v>
      </c>
      <c r="D21" s="1">
        <v>130</v>
      </c>
    </row>
    <row r="22" spans="1:4" x14ac:dyDescent="0.25">
      <c r="A22" t="str">
        <f>"APL-13WW31"</f>
        <v>APL-13WW31</v>
      </c>
      <c r="B22" t="str">
        <f>"APL Pendelleuchte, LED, 14,5W, 3000K, Gehäuse weiß"</f>
        <v>APL Pendelleuchte, LED, 14,5W, 3000K, Gehäuse weiß</v>
      </c>
      <c r="C22" t="str">
        <f t="shared" si="1"/>
        <v>137</v>
      </c>
      <c r="D22" s="1">
        <v>155</v>
      </c>
    </row>
    <row r="23" spans="1:4" x14ac:dyDescent="0.25">
      <c r="A23" t="str">
        <f>"APL-13WW32"</f>
        <v>APL-13WW32</v>
      </c>
      <c r="B23" t="str">
        <f>"APL Pendelleuchte, LED, 14,5W, 3000K, Gehäuse schwarz"</f>
        <v>APL Pendelleuchte, LED, 14,5W, 3000K, Gehäuse schwarz</v>
      </c>
      <c r="C23" t="str">
        <f t="shared" si="1"/>
        <v>137</v>
      </c>
      <c r="D23" s="1">
        <v>155</v>
      </c>
    </row>
    <row r="24" spans="1:4" x14ac:dyDescent="0.25">
      <c r="A24" t="str">
        <f>"APL-7NW01"</f>
        <v>APL-7NW01</v>
      </c>
      <c r="B24" t="str">
        <f>"APL Deckenanbauleuchte, LED, 9,2W, 4000K, weiß"</f>
        <v>APL Deckenanbauleuchte, LED, 9,2W, 4000K, weiß</v>
      </c>
      <c r="C24" t="str">
        <f t="shared" si="1"/>
        <v>137</v>
      </c>
      <c r="D24" s="1">
        <v>90</v>
      </c>
    </row>
    <row r="25" spans="1:4" x14ac:dyDescent="0.25">
      <c r="A25" t="str">
        <f>"APL-7NW02"</f>
        <v>APL-7NW02</v>
      </c>
      <c r="B25" t="str">
        <f>"APL Deckenanbauleuchte, LED, 9,2W, 4000K, schwarz"</f>
        <v>APL Deckenanbauleuchte, LED, 9,2W, 4000K, schwarz</v>
      </c>
      <c r="C25" t="str">
        <f t="shared" si="1"/>
        <v>137</v>
      </c>
      <c r="D25" s="1">
        <v>90</v>
      </c>
    </row>
    <row r="26" spans="1:4" x14ac:dyDescent="0.25">
      <c r="A26" t="str">
        <f>"APL-7NW31"</f>
        <v>APL-7NW31</v>
      </c>
      <c r="B26" t="str">
        <f>"APL Pendelleuchte, LED, 7,5W, 4000K, Gehäuse weiss"</f>
        <v>APL Pendelleuchte, LED, 7,5W, 4000K, Gehäuse weiss</v>
      </c>
      <c r="C26" t="str">
        <f t="shared" si="1"/>
        <v>137</v>
      </c>
      <c r="D26" s="1">
        <v>129</v>
      </c>
    </row>
    <row r="27" spans="1:4" x14ac:dyDescent="0.25">
      <c r="A27" t="str">
        <f>"APL-7NW32"</f>
        <v>APL-7NW32</v>
      </c>
      <c r="B27" t="str">
        <f>"APL Pendelleuchte, LED, 7,4W, 4000K, Gehäuse schwarz"</f>
        <v>APL Pendelleuchte, LED, 7,4W, 4000K, Gehäuse schwarz</v>
      </c>
      <c r="C27" t="str">
        <f t="shared" si="1"/>
        <v>137</v>
      </c>
      <c r="D27" s="1">
        <v>129</v>
      </c>
    </row>
    <row r="28" spans="1:4" x14ac:dyDescent="0.25">
      <c r="A28" t="str">
        <f>"APL-7WW01"</f>
        <v>APL-7WW01</v>
      </c>
      <c r="B28" t="str">
        <f>"APL Deckenanbauleuchte, LED, 9,2W, 3000K, weiß"</f>
        <v>APL Deckenanbauleuchte, LED, 9,2W, 3000K, weiß</v>
      </c>
      <c r="C28" t="str">
        <f t="shared" si="1"/>
        <v>137</v>
      </c>
      <c r="D28" s="1">
        <v>90</v>
      </c>
    </row>
    <row r="29" spans="1:4" x14ac:dyDescent="0.25">
      <c r="A29" t="str">
        <f>"APL-7WW02"</f>
        <v>APL-7WW02</v>
      </c>
      <c r="B29" t="str">
        <f>"APL Deckenanbauleuchte, LED, 9,2W, 3000K, schwarz"</f>
        <v>APL Deckenanbauleuchte, LED, 9,2W, 3000K, schwarz</v>
      </c>
      <c r="C29" t="str">
        <f t="shared" si="1"/>
        <v>137</v>
      </c>
      <c r="D29" s="1">
        <v>90</v>
      </c>
    </row>
    <row r="30" spans="1:4" x14ac:dyDescent="0.25">
      <c r="A30" t="str">
        <f>"APL-7WW31"</f>
        <v>APL-7WW31</v>
      </c>
      <c r="B30" t="str">
        <f>"APL Pendelleuchte, LED, 9W, 3000K, Gehäuse weiss"</f>
        <v>APL Pendelleuchte, LED, 9W, 3000K, Gehäuse weiss</v>
      </c>
      <c r="C30" t="str">
        <f t="shared" si="1"/>
        <v>137</v>
      </c>
      <c r="D30" s="1">
        <v>129</v>
      </c>
    </row>
    <row r="31" spans="1:4" x14ac:dyDescent="0.25">
      <c r="A31" t="str">
        <f>"APL-7WW32"</f>
        <v>APL-7WW32</v>
      </c>
      <c r="B31" t="str">
        <f>"APL Pendelleuchte, LED, 9W, 3000K, Gehäuse schwarz"</f>
        <v>APL Pendelleuchte, LED, 9W, 3000K, Gehäuse schwarz</v>
      </c>
      <c r="C31" t="str">
        <f t="shared" si="1"/>
        <v>137</v>
      </c>
      <c r="D31" s="1">
        <v>129</v>
      </c>
    </row>
    <row r="32" spans="1:4" x14ac:dyDescent="0.25">
      <c r="A32" t="str">
        <f>"ARI-18WW08"</f>
        <v>ARI-18WW08</v>
      </c>
      <c r="B32" t="str">
        <f>"ARIA Wand-Deckenanbauleuchte LED 18W, rund, 3000K, sandbeige"</f>
        <v>ARIA Wand-Deckenanbauleuchte LED 18W, rund, 3000K, sandbeige</v>
      </c>
      <c r="C32" t="str">
        <f>"231"</f>
        <v>231</v>
      </c>
      <c r="D32" s="1">
        <v>248.5</v>
      </c>
    </row>
    <row r="33" spans="1:4" x14ac:dyDescent="0.25">
      <c r="A33" t="str">
        <f>"ARI-18WW6"</f>
        <v>ARI-18WW6</v>
      </c>
      <c r="B33" t="str">
        <f>"ARIA Wand-Deckenanbauleuchte LED 18W, rund, 3000K, anthrazit"</f>
        <v>ARIA Wand-Deckenanbauleuchte LED 18W, rund, 3000K, anthrazit</v>
      </c>
      <c r="C33" t="str">
        <f>"231"</f>
        <v>231</v>
      </c>
      <c r="D33" s="1">
        <v>248.5</v>
      </c>
    </row>
    <row r="34" spans="1:4" x14ac:dyDescent="0.25">
      <c r="A34" t="str">
        <f>"ARI-18WW7"</f>
        <v>ARI-18WW7</v>
      </c>
      <c r="B34" t="str">
        <f>"ARIA Wand-Deckenanbauleuchte LED 18W, rund, 3000K, alugrau"</f>
        <v>ARIA Wand-Deckenanbauleuchte LED 18W, rund, 3000K, alugrau</v>
      </c>
      <c r="C34" t="str">
        <f>"231"</f>
        <v>231</v>
      </c>
      <c r="D34" s="1">
        <v>248.5</v>
      </c>
    </row>
    <row r="35" spans="1:4" x14ac:dyDescent="0.25">
      <c r="A35" t="str">
        <f>"A-SERVP"</f>
        <v>A-SERVP</v>
      </c>
      <c r="B35" t="str">
        <f>"5309 Edelstahlplatte mit Bodenanker für ServerPoint "</f>
        <v xml:space="preserve">5309 Edelstahlplatte mit Bodenanker für ServerPoint </v>
      </c>
      <c r="C35" t="str">
        <f>"223"</f>
        <v>223</v>
      </c>
      <c r="D35" s="1">
        <v>67</v>
      </c>
    </row>
    <row r="36" spans="1:4" x14ac:dyDescent="0.25">
      <c r="A36" t="str">
        <f>"A-STAND"</f>
        <v>A-STAND</v>
      </c>
      <c r="B36" t="str">
        <f>"5529 Edelstahl-Bodenanker für STANDING,QUANTUM Alu-Poller"</f>
        <v>5529 Edelstahl-Bodenanker für STANDING,QUANTUM Alu-Poller</v>
      </c>
      <c r="C36" t="str">
        <f>"219"</f>
        <v>219</v>
      </c>
      <c r="D36" s="1">
        <v>37</v>
      </c>
    </row>
    <row r="37" spans="1:4" x14ac:dyDescent="0.25">
      <c r="A37" t="str">
        <f>"A-TR"</f>
        <v>A-TR</v>
      </c>
      <c r="B37" t="str">
        <f>"3396GR Edelstahlplatte mit Bodenanker für Mast Triangolo City"</f>
        <v>3396GR Edelstahlplatte mit Bodenanker für Mast Triangolo City</v>
      </c>
      <c r="C37" t="str">
        <f>"197"</f>
        <v>197</v>
      </c>
      <c r="D37" s="1">
        <v>298</v>
      </c>
    </row>
    <row r="38" spans="1:4" x14ac:dyDescent="0.25">
      <c r="A38" t="str">
        <f>"BRI-40NW11"</f>
        <v>BRI-40NW11</v>
      </c>
      <c r="B38" t="str">
        <f>"LED Linear Leuchte mit Stromschienen 3-Ph.-Adapter,weiß, 41W, 4000K, L:1150mm"</f>
        <v>LED Linear Leuchte mit Stromschienen 3-Ph.-Adapter,weiß, 41W, 4000K, L:1150mm</v>
      </c>
      <c r="C38" t="str">
        <f t="shared" ref="C38:C61" si="2">"21"</f>
        <v>21</v>
      </c>
      <c r="D38" s="1">
        <v>197.5</v>
      </c>
    </row>
    <row r="39" spans="1:4" x14ac:dyDescent="0.25">
      <c r="A39" t="str">
        <f>"BRI-40NW11DA"</f>
        <v>BRI-40NW11DA</v>
      </c>
      <c r="B39" t="str">
        <f>"LED Linear Leuchte mit Stromschienen 3-Ph.-Adapter,weiß, 41W, 4000K, L:1150mm"</f>
        <v>LED Linear Leuchte mit Stromschienen 3-Ph.-Adapter,weiß, 41W, 4000K, L:1150mm</v>
      </c>
      <c r="C39" t="str">
        <f t="shared" si="2"/>
        <v>21</v>
      </c>
      <c r="D39" s="1">
        <v>197.5</v>
      </c>
    </row>
    <row r="40" spans="1:4" x14ac:dyDescent="0.25">
      <c r="A40" t="str">
        <f>"BRI-40NW11F"</f>
        <v>BRI-40NW11F</v>
      </c>
      <c r="B40" t="str">
        <f>"LED Linear Leuchte mit Stromschienen 3-Ph.-Adapter,weiß, 41W, 4000K, L:1150mm"</f>
        <v>LED Linear Leuchte mit Stromschienen 3-Ph.-Adapter,weiß, 41W, 4000K, L:1150mm</v>
      </c>
      <c r="C40" t="str">
        <f t="shared" si="2"/>
        <v>21</v>
      </c>
      <c r="D40" s="1">
        <v>197.5</v>
      </c>
    </row>
    <row r="41" spans="1:4" x14ac:dyDescent="0.25">
      <c r="A41" t="str">
        <f>"BRI-40NW12"</f>
        <v>BRI-40NW12</v>
      </c>
      <c r="B41" t="str">
        <f>"LED Linear Leuchte mit Stromschienen 3-Ph.-Adapter,schwarz, 41W, 4000K, L:1150mm"</f>
        <v>LED Linear Leuchte mit Stromschienen 3-Ph.-Adapter,schwarz, 41W, 4000K, L:1150mm</v>
      </c>
      <c r="C41" t="str">
        <f t="shared" si="2"/>
        <v>21</v>
      </c>
      <c r="D41" s="1">
        <v>197.5</v>
      </c>
    </row>
    <row r="42" spans="1:4" x14ac:dyDescent="0.25">
      <c r="A42" t="str">
        <f>"BRI-40NW12DA"</f>
        <v>BRI-40NW12DA</v>
      </c>
      <c r="B42" t="str">
        <f>"LED Linear Leuchte mit Stromschienen 3-Ph.-Adapter,schwarz, 41W, 4000K, L:1150mm"</f>
        <v>LED Linear Leuchte mit Stromschienen 3-Ph.-Adapter,schwarz, 41W, 4000K, L:1150mm</v>
      </c>
      <c r="C42" t="str">
        <f t="shared" si="2"/>
        <v>21</v>
      </c>
      <c r="D42" s="1">
        <v>197.5</v>
      </c>
    </row>
    <row r="43" spans="1:4" x14ac:dyDescent="0.25">
      <c r="A43" t="str">
        <f>"BRI-40NW12F"</f>
        <v>BRI-40NW12F</v>
      </c>
      <c r="B43" t="str">
        <f>"LED Linear Leuchte mit Stromschienen 3-Ph.-Adapter,schwarz, 41W, 4000K, L:1150mm"</f>
        <v>LED Linear Leuchte mit Stromschienen 3-Ph.-Adapter,schwarz, 41W, 4000K, L:1150mm</v>
      </c>
      <c r="C43" t="str">
        <f t="shared" si="2"/>
        <v>21</v>
      </c>
      <c r="D43" s="1">
        <v>197.5</v>
      </c>
    </row>
    <row r="44" spans="1:4" x14ac:dyDescent="0.25">
      <c r="A44" t="str">
        <f>"BRI-40WW11"</f>
        <v>BRI-40WW11</v>
      </c>
      <c r="B44" t="str">
        <f>"LED Linear Leuchte mit Stromschienen 3-Ph.-Adapter,weiß, 41W, 3000K, L:1150mm"</f>
        <v>LED Linear Leuchte mit Stromschienen 3-Ph.-Adapter,weiß, 41W, 3000K, L:1150mm</v>
      </c>
      <c r="C44" t="str">
        <f t="shared" si="2"/>
        <v>21</v>
      </c>
      <c r="D44" s="1">
        <v>197.5</v>
      </c>
    </row>
    <row r="45" spans="1:4" x14ac:dyDescent="0.25">
      <c r="A45" t="str">
        <f>"BRI-40WW11DA"</f>
        <v>BRI-40WW11DA</v>
      </c>
      <c r="B45" t="str">
        <f>"LED Linear Leuchte mit Stromschienen 3-Ph.-Adapter,weiß, 41W, 3000K, L:1150mm"</f>
        <v>LED Linear Leuchte mit Stromschienen 3-Ph.-Adapter,weiß, 41W, 3000K, L:1150mm</v>
      </c>
      <c r="C45" t="str">
        <f t="shared" si="2"/>
        <v>21</v>
      </c>
      <c r="D45" s="1">
        <v>197.5</v>
      </c>
    </row>
    <row r="46" spans="1:4" x14ac:dyDescent="0.25">
      <c r="A46" t="str">
        <f>"BRI-40WW11F"</f>
        <v>BRI-40WW11F</v>
      </c>
      <c r="B46" t="str">
        <f>"LED Linear Leuchte mit Stromschienen 3-Ph.-Adapter,weiß, 41W, 3000K, L:1150mm"</f>
        <v>LED Linear Leuchte mit Stromschienen 3-Ph.-Adapter,weiß, 41W, 3000K, L:1150mm</v>
      </c>
      <c r="C46" t="str">
        <f t="shared" si="2"/>
        <v>21</v>
      </c>
      <c r="D46" s="1">
        <v>197.5</v>
      </c>
    </row>
    <row r="47" spans="1:4" x14ac:dyDescent="0.25">
      <c r="A47" t="str">
        <f>"BRI-40WW12"</f>
        <v>BRI-40WW12</v>
      </c>
      <c r="B47" t="str">
        <f>"LED Linear Leuchte mit Stromschienen 3-Ph.-Adapter,schwarz, 41W, 3000K, L:1150mm"</f>
        <v>LED Linear Leuchte mit Stromschienen 3-Ph.-Adapter,schwarz, 41W, 3000K, L:1150mm</v>
      </c>
      <c r="C47" t="str">
        <f t="shared" si="2"/>
        <v>21</v>
      </c>
      <c r="D47" s="1">
        <v>197.5</v>
      </c>
    </row>
    <row r="48" spans="1:4" x14ac:dyDescent="0.25">
      <c r="A48" t="str">
        <f>"BRI-40WW12DA"</f>
        <v>BRI-40WW12DA</v>
      </c>
      <c r="B48" t="str">
        <f>"LED Linear Leuchte mit Stromschienen 3-Ph.-Adapter,schwarz, 41W, 3000K, L:1150mm"</f>
        <v>LED Linear Leuchte mit Stromschienen 3-Ph.-Adapter,schwarz, 41W, 3000K, L:1150mm</v>
      </c>
      <c r="C48" t="str">
        <f t="shared" si="2"/>
        <v>21</v>
      </c>
      <c r="D48" s="1">
        <v>197.5</v>
      </c>
    </row>
    <row r="49" spans="1:4" x14ac:dyDescent="0.25">
      <c r="A49" t="str">
        <f>"BRI-40WW12F"</f>
        <v>BRI-40WW12F</v>
      </c>
      <c r="B49" t="str">
        <f>"LED Linear Leuchte mit Stromschienen 3-Ph.-Adapter,schwarz, 41W, 3000K, L:1150mm"</f>
        <v>LED Linear Leuchte mit Stromschienen 3-Ph.-Adapter,schwarz, 41W, 3000K, L:1150mm</v>
      </c>
      <c r="C49" t="str">
        <f t="shared" si="2"/>
        <v>21</v>
      </c>
      <c r="D49" s="1">
        <v>197.5</v>
      </c>
    </row>
    <row r="50" spans="1:4" x14ac:dyDescent="0.25">
      <c r="A50" t="str">
        <f>"BRI-60NW11"</f>
        <v>BRI-60NW11</v>
      </c>
      <c r="B50" t="str">
        <f>"LED Linear Leuchte mit Stromschienen 3-Ph.-Adapter,weiß, 61W, 4000K, L:1150mm"</f>
        <v>LED Linear Leuchte mit Stromschienen 3-Ph.-Adapter,weiß, 61W, 4000K, L:1150mm</v>
      </c>
      <c r="C50" t="str">
        <f t="shared" si="2"/>
        <v>21</v>
      </c>
      <c r="D50" s="1">
        <v>220</v>
      </c>
    </row>
    <row r="51" spans="1:4" x14ac:dyDescent="0.25">
      <c r="A51" t="str">
        <f>"BRI-60NW11DA"</f>
        <v>BRI-60NW11DA</v>
      </c>
      <c r="B51" t="str">
        <f>"LED Linear Leuchte mit Stromschienen 3-Ph.-Adapter,weiß, 61W, 4000K, L:1150mm"</f>
        <v>LED Linear Leuchte mit Stromschienen 3-Ph.-Adapter,weiß, 61W, 4000K, L:1150mm</v>
      </c>
      <c r="C51" t="str">
        <f t="shared" si="2"/>
        <v>21</v>
      </c>
      <c r="D51" s="1">
        <v>220</v>
      </c>
    </row>
    <row r="52" spans="1:4" x14ac:dyDescent="0.25">
      <c r="A52" t="str">
        <f>"BRI-60NW11F"</f>
        <v>BRI-60NW11F</v>
      </c>
      <c r="B52" t="str">
        <f>"LED Linear Leuchte mit Stromschienen 3-Ph.-Adapter,weiß, 61W, 4000K, L:1150mm"</f>
        <v>LED Linear Leuchte mit Stromschienen 3-Ph.-Adapter,weiß, 61W, 4000K, L:1150mm</v>
      </c>
      <c r="C52" t="str">
        <f t="shared" si="2"/>
        <v>21</v>
      </c>
      <c r="D52" s="1">
        <v>220</v>
      </c>
    </row>
    <row r="53" spans="1:4" x14ac:dyDescent="0.25">
      <c r="A53" t="str">
        <f>"BRI-60NW12"</f>
        <v>BRI-60NW12</v>
      </c>
      <c r="B53" t="str">
        <f>"LED Linear Leuchte mit Stromschienen 3-Ph.-Adapter,schwarz, 61W, 4000K, L:1150mm"</f>
        <v>LED Linear Leuchte mit Stromschienen 3-Ph.-Adapter,schwarz, 61W, 4000K, L:1150mm</v>
      </c>
      <c r="C53" t="str">
        <f t="shared" si="2"/>
        <v>21</v>
      </c>
      <c r="D53" s="1">
        <v>220</v>
      </c>
    </row>
    <row r="54" spans="1:4" x14ac:dyDescent="0.25">
      <c r="A54" t="str">
        <f>"BRI-60NW12DA"</f>
        <v>BRI-60NW12DA</v>
      </c>
      <c r="B54" t="str">
        <f>"LED Linear Leuchte mit Stromschienen 3-Ph.-Adapter,schwarz, 61W, 4000K, L:1150mm"</f>
        <v>LED Linear Leuchte mit Stromschienen 3-Ph.-Adapter,schwarz, 61W, 4000K, L:1150mm</v>
      </c>
      <c r="C54" t="str">
        <f t="shared" si="2"/>
        <v>21</v>
      </c>
      <c r="D54" s="1">
        <v>220</v>
      </c>
    </row>
    <row r="55" spans="1:4" x14ac:dyDescent="0.25">
      <c r="A55" t="str">
        <f>"BRI-60NW12F"</f>
        <v>BRI-60NW12F</v>
      </c>
      <c r="B55" t="str">
        <f>"LED Linear Leuchte mit Stromschienen 3-Ph.-Adapter,schwarz, 61W, 4000K, L:1150mm"</f>
        <v>LED Linear Leuchte mit Stromschienen 3-Ph.-Adapter,schwarz, 61W, 4000K, L:1150mm</v>
      </c>
      <c r="C55" t="str">
        <f t="shared" si="2"/>
        <v>21</v>
      </c>
      <c r="D55" s="1">
        <v>220</v>
      </c>
    </row>
    <row r="56" spans="1:4" x14ac:dyDescent="0.25">
      <c r="A56" t="str">
        <f>"BRI-60WW11"</f>
        <v>BRI-60WW11</v>
      </c>
      <c r="B56" t="str">
        <f>"LED Linear Leuchte mit Stromschienen 3-Ph.-Adapter,weiß, 61W, 3000K, L:1150mm"</f>
        <v>LED Linear Leuchte mit Stromschienen 3-Ph.-Adapter,weiß, 61W, 3000K, L:1150mm</v>
      </c>
      <c r="C56" t="str">
        <f t="shared" si="2"/>
        <v>21</v>
      </c>
      <c r="D56" s="1">
        <v>220</v>
      </c>
    </row>
    <row r="57" spans="1:4" x14ac:dyDescent="0.25">
      <c r="A57" t="str">
        <f>"BRI-60WW11DA"</f>
        <v>BRI-60WW11DA</v>
      </c>
      <c r="B57" t="str">
        <f>"LED Linear Leuchte mit Stromschienen 3-Ph.-Adapter,weiß, 61W, 3000K, L:1150mm"</f>
        <v>LED Linear Leuchte mit Stromschienen 3-Ph.-Adapter,weiß, 61W, 3000K, L:1150mm</v>
      </c>
      <c r="C57" t="str">
        <f t="shared" si="2"/>
        <v>21</v>
      </c>
      <c r="D57" s="1">
        <v>220</v>
      </c>
    </row>
    <row r="58" spans="1:4" x14ac:dyDescent="0.25">
      <c r="A58" t="str">
        <f>"BRI-60WW11F"</f>
        <v>BRI-60WW11F</v>
      </c>
      <c r="B58" t="str">
        <f>"LED Linear Leuchte mit Stromschienen 3-Ph.-Adapter,weiß, 61W, 3000K, L:1150mm"</f>
        <v>LED Linear Leuchte mit Stromschienen 3-Ph.-Adapter,weiß, 61W, 3000K, L:1150mm</v>
      </c>
      <c r="C58" t="str">
        <f t="shared" si="2"/>
        <v>21</v>
      </c>
      <c r="D58" s="1">
        <v>220</v>
      </c>
    </row>
    <row r="59" spans="1:4" x14ac:dyDescent="0.25">
      <c r="A59" t="str">
        <f>"BRI-60WW12"</f>
        <v>BRI-60WW12</v>
      </c>
      <c r="B59" t="str">
        <f>"LED Linear Leuchte mit Stromschienen 3-Ph.-Adapter,schwarz, 61W, 3000K, L:1150mm"</f>
        <v>LED Linear Leuchte mit Stromschienen 3-Ph.-Adapter,schwarz, 61W, 3000K, L:1150mm</v>
      </c>
      <c r="C59" t="str">
        <f t="shared" si="2"/>
        <v>21</v>
      </c>
      <c r="D59" s="1">
        <v>220</v>
      </c>
    </row>
    <row r="60" spans="1:4" x14ac:dyDescent="0.25">
      <c r="A60" t="str">
        <f>"BRI-60WW12DA"</f>
        <v>BRI-60WW12DA</v>
      </c>
      <c r="B60" t="str">
        <f>"LED Linear Leuchte mit Stromschienen 3-Ph.-Adapter,schwarz, 61W, 3000K, L:1150mm"</f>
        <v>LED Linear Leuchte mit Stromschienen 3-Ph.-Adapter,schwarz, 61W, 3000K, L:1150mm</v>
      </c>
      <c r="C60" t="str">
        <f t="shared" si="2"/>
        <v>21</v>
      </c>
      <c r="D60" s="1">
        <v>220</v>
      </c>
    </row>
    <row r="61" spans="1:4" x14ac:dyDescent="0.25">
      <c r="A61" t="str">
        <f>"BRI-60WW12F"</f>
        <v>BRI-60WW12F</v>
      </c>
      <c r="B61" t="str">
        <f>"LED Linear Leuchte mit Stromschienen 3-Ph.-Adapter,schwarz, 61W, 3000K, L:1150mm"</f>
        <v>LED Linear Leuchte mit Stromschienen 3-Ph.-Adapter,schwarz, 61W, 3000K, L:1150mm</v>
      </c>
      <c r="C61" t="str">
        <f t="shared" si="2"/>
        <v>21</v>
      </c>
      <c r="D61" s="1">
        <v>220</v>
      </c>
    </row>
    <row r="62" spans="1:4" x14ac:dyDescent="0.25">
      <c r="A62" t="str">
        <f>"BWL-30NW1"</f>
        <v>BWL-30NW1</v>
      </c>
      <c r="B62" t="str">
        <f>"BWL, Einbaudownlight, LED 27W, 4000K, 750 mA, 30°, Gehäuse weiß m. weißem Ring"</f>
        <v>BWL, Einbaudownlight, LED 27W, 4000K, 750 mA, 30°, Gehäuse weiß m. weißem Ring</v>
      </c>
      <c r="C62" t="str">
        <f t="shared" ref="C62:C93" si="3">"69"</f>
        <v>69</v>
      </c>
      <c r="D62" s="1">
        <v>145</v>
      </c>
    </row>
    <row r="63" spans="1:4" x14ac:dyDescent="0.25">
      <c r="A63" t="str">
        <f>"BWL-30NW1F"</f>
        <v>BWL-30NW1F</v>
      </c>
      <c r="B63" t="str">
        <f>"BWL, Einbaudownlight, LED 27W, 4000K, 750 mA, 60°, Gehäuse weiß m. weißem Ring"</f>
        <v>BWL, Einbaudownlight, LED 27W, 4000K, 750 mA, 60°, Gehäuse weiß m. weißem Ring</v>
      </c>
      <c r="C63" t="str">
        <f t="shared" si="3"/>
        <v>69</v>
      </c>
      <c r="D63" s="1">
        <v>145</v>
      </c>
    </row>
    <row r="64" spans="1:4" x14ac:dyDescent="0.25">
      <c r="A64" t="str">
        <f>"BWL-30NW1-2"</f>
        <v>BWL-30NW1-2</v>
      </c>
      <c r="B64" t="str">
        <f>"BWL Einbaudownlight, LED 27W, 4000K, 750mA, 30°, Gehäuse weiß m. schwarzem Ring"</f>
        <v>BWL Einbaudownlight, LED 27W, 4000K, 750mA, 30°, Gehäuse weiß m. schwarzem Ring</v>
      </c>
      <c r="C64" t="str">
        <f t="shared" si="3"/>
        <v>69</v>
      </c>
      <c r="D64" s="1">
        <v>145</v>
      </c>
    </row>
    <row r="65" spans="1:4" x14ac:dyDescent="0.25">
      <c r="A65" t="str">
        <f>"BWL-30NW1-2F"</f>
        <v>BWL-30NW1-2F</v>
      </c>
      <c r="B65" t="str">
        <f>"BWL Einbaudownlight, LED 27W, 4000K, 750mA, 60°, Gehäuse weiß m. schwarzem Ring"</f>
        <v>BWL Einbaudownlight, LED 27W, 4000K, 750mA, 60°, Gehäuse weiß m. schwarzem Ring</v>
      </c>
      <c r="C65" t="str">
        <f t="shared" si="3"/>
        <v>69</v>
      </c>
      <c r="D65" s="1">
        <v>145</v>
      </c>
    </row>
    <row r="66" spans="1:4" x14ac:dyDescent="0.25">
      <c r="A66" t="str">
        <f>"BWL-30NW2"</f>
        <v>BWL-30NW2</v>
      </c>
      <c r="B66" t="str">
        <f>"BWL Einbaudownlight, LED 27W, 4000K, 750mA, 30°, Gehäuse und Ring schwarz"</f>
        <v>BWL Einbaudownlight, LED 27W, 4000K, 750mA, 30°, Gehäuse und Ring schwarz</v>
      </c>
      <c r="C66" t="str">
        <f t="shared" si="3"/>
        <v>69</v>
      </c>
      <c r="D66" s="1">
        <v>145</v>
      </c>
    </row>
    <row r="67" spans="1:4" x14ac:dyDescent="0.25">
      <c r="A67" t="str">
        <f>"BWL-30NW2F"</f>
        <v>BWL-30NW2F</v>
      </c>
      <c r="B67" t="str">
        <f>"BWL Einbaudownlight, LED 27W, 4000K, 750mA, 60°, Gehäuse und Ring schwarz"</f>
        <v>BWL Einbaudownlight, LED 27W, 4000K, 750mA, 60°, Gehäuse und Ring schwarz</v>
      </c>
      <c r="C67" t="str">
        <f t="shared" si="3"/>
        <v>69</v>
      </c>
      <c r="D67" s="1">
        <v>145</v>
      </c>
    </row>
    <row r="68" spans="1:4" x14ac:dyDescent="0.25">
      <c r="A68" t="str">
        <f>"BWL-30NW2-1"</f>
        <v>BWL-30NW2-1</v>
      </c>
      <c r="B68" t="str">
        <f>"BWL Einbaudownlight, LED 27W, 4000K, 750mA, 30°, Gehäuse schwarz, weißer Ring"</f>
        <v>BWL Einbaudownlight, LED 27W, 4000K, 750mA, 30°, Gehäuse schwarz, weißer Ring</v>
      </c>
      <c r="C68" t="str">
        <f t="shared" si="3"/>
        <v>69</v>
      </c>
      <c r="D68" s="1">
        <v>145</v>
      </c>
    </row>
    <row r="69" spans="1:4" x14ac:dyDescent="0.25">
      <c r="A69" t="str">
        <f>"BWL-30NW2-1F"</f>
        <v>BWL-30NW2-1F</v>
      </c>
      <c r="B69" t="str">
        <f>"BWL Einbaudownlight, LED 27W, 4000K, 750mA, 60°, Gehäuse schwarz, weißer Ring"</f>
        <v>BWL Einbaudownlight, LED 27W, 4000K, 750mA, 60°, Gehäuse schwarz, weißer Ring</v>
      </c>
      <c r="C69" t="str">
        <f t="shared" si="3"/>
        <v>69</v>
      </c>
      <c r="D69" s="1">
        <v>145</v>
      </c>
    </row>
    <row r="70" spans="1:4" x14ac:dyDescent="0.25">
      <c r="A70" t="str">
        <f>"BWL-30SW1"</f>
        <v>BWL-30SW1</v>
      </c>
      <c r="B70" t="str">
        <f>"BWL, Einbaudownlight, LED 27W, 2700K, 750 mA, 30°, Gehäuse weiß m. weißem Ring"</f>
        <v>BWL, Einbaudownlight, LED 27W, 2700K, 750 mA, 30°, Gehäuse weiß m. weißem Ring</v>
      </c>
      <c r="C70" t="str">
        <f t="shared" si="3"/>
        <v>69</v>
      </c>
      <c r="D70" s="1">
        <v>145</v>
      </c>
    </row>
    <row r="71" spans="1:4" x14ac:dyDescent="0.25">
      <c r="A71" t="str">
        <f>"BWL-30SW1F"</f>
        <v>BWL-30SW1F</v>
      </c>
      <c r="B71" t="str">
        <f>"BWL, Einbaudownlight, LED 27W, 2700K, 750 mA, 60°, Gehäuse weiß m. weißem Ring"</f>
        <v>BWL, Einbaudownlight, LED 27W, 2700K, 750 mA, 60°, Gehäuse weiß m. weißem Ring</v>
      </c>
      <c r="C71" t="str">
        <f t="shared" si="3"/>
        <v>69</v>
      </c>
      <c r="D71" s="1">
        <v>145</v>
      </c>
    </row>
    <row r="72" spans="1:4" x14ac:dyDescent="0.25">
      <c r="A72" t="str">
        <f>"BWL-30SW1-2"</f>
        <v>BWL-30SW1-2</v>
      </c>
      <c r="B72" t="str">
        <f>"BWL Einbaudownlight, LED 27W, 2700K, 750mA, 30°, Gehäuse weiß m. schwarzem Ring"</f>
        <v>BWL Einbaudownlight, LED 27W, 2700K, 750mA, 30°, Gehäuse weiß m. schwarzem Ring</v>
      </c>
      <c r="C72" t="str">
        <f t="shared" si="3"/>
        <v>69</v>
      </c>
      <c r="D72" s="1">
        <v>145</v>
      </c>
    </row>
    <row r="73" spans="1:4" x14ac:dyDescent="0.25">
      <c r="A73" t="str">
        <f>"BWL-30SW1-2F"</f>
        <v>BWL-30SW1-2F</v>
      </c>
      <c r="B73" t="str">
        <f>"BWL Einbaudownlight, LED 27W, 2700K, 750mA, 60°, Gehäuse weiß m. schwarzem Ring"</f>
        <v>BWL Einbaudownlight, LED 27W, 2700K, 750mA, 60°, Gehäuse weiß m. schwarzem Ring</v>
      </c>
      <c r="C73" t="str">
        <f t="shared" si="3"/>
        <v>69</v>
      </c>
      <c r="D73" s="1">
        <v>145</v>
      </c>
    </row>
    <row r="74" spans="1:4" x14ac:dyDescent="0.25">
      <c r="A74" t="str">
        <f>"BWL-30SW2"</f>
        <v>BWL-30SW2</v>
      </c>
      <c r="B74" t="str">
        <f>"BWL Einbaudownlight, LED 27W, 2700K, 750mA, 30°, Gehäuse und Ring schwarz"</f>
        <v>BWL Einbaudownlight, LED 27W, 2700K, 750mA, 30°, Gehäuse und Ring schwarz</v>
      </c>
      <c r="C74" t="str">
        <f t="shared" si="3"/>
        <v>69</v>
      </c>
      <c r="D74" s="1">
        <v>145</v>
      </c>
    </row>
    <row r="75" spans="1:4" x14ac:dyDescent="0.25">
      <c r="A75" t="str">
        <f>"BWL-30SW2F"</f>
        <v>BWL-30SW2F</v>
      </c>
      <c r="B75" t="str">
        <f>"BWL Einbaudownlight, LED 27W, 2700K, 750mA, 60°, Gehäuse und Ring schwarz"</f>
        <v>BWL Einbaudownlight, LED 27W, 2700K, 750mA, 60°, Gehäuse und Ring schwarz</v>
      </c>
      <c r="C75" t="str">
        <f t="shared" si="3"/>
        <v>69</v>
      </c>
      <c r="D75" s="1">
        <v>145</v>
      </c>
    </row>
    <row r="76" spans="1:4" x14ac:dyDescent="0.25">
      <c r="A76" t="str">
        <f>"BWL-30SW2-1"</f>
        <v>BWL-30SW2-1</v>
      </c>
      <c r="B76" t="str">
        <f>"BWL Einbaudownlight, LED 27W, 2700K, 750mA, 30°, Gehäuse schwarz, weißer Ring"</f>
        <v>BWL Einbaudownlight, LED 27W, 2700K, 750mA, 30°, Gehäuse schwarz, weißer Ring</v>
      </c>
      <c r="C76" t="str">
        <f t="shared" si="3"/>
        <v>69</v>
      </c>
      <c r="D76" s="1">
        <v>145</v>
      </c>
    </row>
    <row r="77" spans="1:4" x14ac:dyDescent="0.25">
      <c r="A77" t="str">
        <f>"BWL-30SW2-1F"</f>
        <v>BWL-30SW2-1F</v>
      </c>
      <c r="B77" t="str">
        <f>"BWL Einbaudownlight, LED 27W, 2700K, 750mA, 60°, Gehäuse schwarz, weißer Ring"</f>
        <v>BWL Einbaudownlight, LED 27W, 2700K, 750mA, 60°, Gehäuse schwarz, weißer Ring</v>
      </c>
      <c r="C77" t="str">
        <f t="shared" si="3"/>
        <v>69</v>
      </c>
      <c r="D77" s="1">
        <v>145</v>
      </c>
    </row>
    <row r="78" spans="1:4" x14ac:dyDescent="0.25">
      <c r="A78" t="str">
        <f>"BWL-30WNW1"</f>
        <v>BWL-30WNW1</v>
      </c>
      <c r="B78" t="str">
        <f>"BWL, Einbaudownlight, LED 27W, 3500K, 750 mA, 30°, Gehäuse weiß m. weißem Ring"</f>
        <v>BWL, Einbaudownlight, LED 27W, 3500K, 750 mA, 30°, Gehäuse weiß m. weißem Ring</v>
      </c>
      <c r="C78" t="str">
        <f t="shared" si="3"/>
        <v>69</v>
      </c>
      <c r="D78" s="1">
        <v>145</v>
      </c>
    </row>
    <row r="79" spans="1:4" x14ac:dyDescent="0.25">
      <c r="A79" t="str">
        <f>"BWL-30WNW1F"</f>
        <v>BWL-30WNW1F</v>
      </c>
      <c r="B79" t="str">
        <f>"BWL, Einbaudownlight, LED 27W, 3500K, 750 mA, 60°, Gehäuse weiß m. weißem Ring"</f>
        <v>BWL, Einbaudownlight, LED 27W, 3500K, 750 mA, 60°, Gehäuse weiß m. weißem Ring</v>
      </c>
      <c r="C79" t="str">
        <f t="shared" si="3"/>
        <v>69</v>
      </c>
      <c r="D79" s="1">
        <v>145</v>
      </c>
    </row>
    <row r="80" spans="1:4" x14ac:dyDescent="0.25">
      <c r="A80" t="str">
        <f>"BWL-30WNW1-2"</f>
        <v>BWL-30WNW1-2</v>
      </c>
      <c r="B80" t="str">
        <f>"BWL Einbaudownlight, LED 27W, 3500K, 750mA, 30°, Gehäuse weiß m. schwarzem Ring"</f>
        <v>BWL Einbaudownlight, LED 27W, 3500K, 750mA, 30°, Gehäuse weiß m. schwarzem Ring</v>
      </c>
      <c r="C80" t="str">
        <f t="shared" si="3"/>
        <v>69</v>
      </c>
      <c r="D80" s="1">
        <v>145</v>
      </c>
    </row>
    <row r="81" spans="1:4" x14ac:dyDescent="0.25">
      <c r="A81" t="str">
        <f>"BWL-30WNW1-2F"</f>
        <v>BWL-30WNW1-2F</v>
      </c>
      <c r="B81" t="str">
        <f>"BWL Einbaudownlight, LED 27W, 3500K, 750mA, 60°, Gehäuse weiß m. schwarzem Ring"</f>
        <v>BWL Einbaudownlight, LED 27W, 3500K, 750mA, 60°, Gehäuse weiß m. schwarzem Ring</v>
      </c>
      <c r="C81" t="str">
        <f t="shared" si="3"/>
        <v>69</v>
      </c>
      <c r="D81" s="1">
        <v>145</v>
      </c>
    </row>
    <row r="82" spans="1:4" x14ac:dyDescent="0.25">
      <c r="A82" t="str">
        <f>"BWL-30WNW2"</f>
        <v>BWL-30WNW2</v>
      </c>
      <c r="B82" t="str">
        <f>"BWL Einbaudownlight, LED 27W, 3500K, 750mA, 30°, Gehäuse und Ring schwarz"</f>
        <v>BWL Einbaudownlight, LED 27W, 3500K, 750mA, 30°, Gehäuse und Ring schwarz</v>
      </c>
      <c r="C82" t="str">
        <f t="shared" si="3"/>
        <v>69</v>
      </c>
      <c r="D82" s="1">
        <v>145</v>
      </c>
    </row>
    <row r="83" spans="1:4" x14ac:dyDescent="0.25">
      <c r="A83" t="str">
        <f>"BWL-30WNW2F"</f>
        <v>BWL-30WNW2F</v>
      </c>
      <c r="B83" t="str">
        <f>"BWL Einbaudownlight, LED 27W, 3500K, 750mA, 60°, Gehäuse und Ring schwarz"</f>
        <v>BWL Einbaudownlight, LED 27W, 3500K, 750mA, 60°, Gehäuse und Ring schwarz</v>
      </c>
      <c r="C83" t="str">
        <f t="shared" si="3"/>
        <v>69</v>
      </c>
      <c r="D83" s="1">
        <v>145</v>
      </c>
    </row>
    <row r="84" spans="1:4" x14ac:dyDescent="0.25">
      <c r="A84" t="str">
        <f>"BWL-30WNW2-1"</f>
        <v>BWL-30WNW2-1</v>
      </c>
      <c r="B84" t="str">
        <f>"BWL Einbaudownlight, LED 27W, 3500K, 750mA, 30°, Gehäuse schwarz, weißer Ring"</f>
        <v>BWL Einbaudownlight, LED 27W, 3500K, 750mA, 30°, Gehäuse schwarz, weißer Ring</v>
      </c>
      <c r="C84" t="str">
        <f t="shared" si="3"/>
        <v>69</v>
      </c>
      <c r="D84" s="1">
        <v>145</v>
      </c>
    </row>
    <row r="85" spans="1:4" x14ac:dyDescent="0.25">
      <c r="A85" t="str">
        <f>"BWL-30WNW2-1F"</f>
        <v>BWL-30WNW2-1F</v>
      </c>
      <c r="B85" t="str">
        <f>"BWL Einbaudownlight, LED 27W, 3500K, 750mA, 60°, Gehäuse schwarz, weißer Ring"</f>
        <v>BWL Einbaudownlight, LED 27W, 3500K, 750mA, 60°, Gehäuse schwarz, weißer Ring</v>
      </c>
      <c r="C85" t="str">
        <f t="shared" si="3"/>
        <v>69</v>
      </c>
      <c r="D85" s="1">
        <v>145</v>
      </c>
    </row>
    <row r="86" spans="1:4" x14ac:dyDescent="0.25">
      <c r="A86" t="str">
        <f>"BWL-30WW1"</f>
        <v>BWL-30WW1</v>
      </c>
      <c r="B86" t="str">
        <f>"BWL, Einbaudownlight, LED 27W, 3000K, 750 mA, 30°, Gehäuse weiß m. weißem Ring"</f>
        <v>BWL, Einbaudownlight, LED 27W, 3000K, 750 mA, 30°, Gehäuse weiß m. weißem Ring</v>
      </c>
      <c r="C86" t="str">
        <f t="shared" si="3"/>
        <v>69</v>
      </c>
      <c r="D86" s="1">
        <v>145</v>
      </c>
    </row>
    <row r="87" spans="1:4" x14ac:dyDescent="0.25">
      <c r="A87" t="str">
        <f>"BWL-30WW1F"</f>
        <v>BWL-30WW1F</v>
      </c>
      <c r="B87" t="str">
        <f>"BWL, Einbaudownlight, LED 27W, 3000K, 750 mA, 60°, Gehäuse weiß m. weißem Ring"</f>
        <v>BWL, Einbaudownlight, LED 27W, 3000K, 750 mA, 60°, Gehäuse weiß m. weißem Ring</v>
      </c>
      <c r="C87" t="str">
        <f t="shared" si="3"/>
        <v>69</v>
      </c>
      <c r="D87" s="1">
        <v>145</v>
      </c>
    </row>
    <row r="88" spans="1:4" x14ac:dyDescent="0.25">
      <c r="A88" t="str">
        <f>"BWL-30WW1-2"</f>
        <v>BWL-30WW1-2</v>
      </c>
      <c r="B88" t="str">
        <f>"BWL Einbaudownlight, LED 27W, 3000K, 750mA, 30°, Gehäuse weiß m. schwarzem Ring"</f>
        <v>BWL Einbaudownlight, LED 27W, 3000K, 750mA, 30°, Gehäuse weiß m. schwarzem Ring</v>
      </c>
      <c r="C88" t="str">
        <f t="shared" si="3"/>
        <v>69</v>
      </c>
      <c r="D88" s="1">
        <v>145</v>
      </c>
    </row>
    <row r="89" spans="1:4" x14ac:dyDescent="0.25">
      <c r="A89" t="str">
        <f>"BWL-30WW1-2F"</f>
        <v>BWL-30WW1-2F</v>
      </c>
      <c r="B89" t="str">
        <f>"BWL Einbaudownlight, LED 27W, 3000K, 750mA, 60°, Gehäuse weiß m. schwarzem Ring"</f>
        <v>BWL Einbaudownlight, LED 27W, 3000K, 750mA, 60°, Gehäuse weiß m. schwarzem Ring</v>
      </c>
      <c r="C89" t="str">
        <f t="shared" si="3"/>
        <v>69</v>
      </c>
      <c r="D89" s="1">
        <v>145</v>
      </c>
    </row>
    <row r="90" spans="1:4" x14ac:dyDescent="0.25">
      <c r="A90" t="str">
        <f>"BWL-30WW2"</f>
        <v>BWL-30WW2</v>
      </c>
      <c r="B90" t="str">
        <f>"BWL Einbaudownlight, LED 27W, 3000K, 750mA, 30°, Gehäuse und Ring schwarz"</f>
        <v>BWL Einbaudownlight, LED 27W, 3000K, 750mA, 30°, Gehäuse und Ring schwarz</v>
      </c>
      <c r="C90" t="str">
        <f t="shared" si="3"/>
        <v>69</v>
      </c>
      <c r="D90" s="1">
        <v>145</v>
      </c>
    </row>
    <row r="91" spans="1:4" x14ac:dyDescent="0.25">
      <c r="A91" t="str">
        <f>"BWL-30WW2F"</f>
        <v>BWL-30WW2F</v>
      </c>
      <c r="B91" t="str">
        <f>"BWL Einbaudownlight, LED 27W, 3000K, 750mA, 60°, Gehäuse und Ring schwarz"</f>
        <v>BWL Einbaudownlight, LED 27W, 3000K, 750mA, 60°, Gehäuse und Ring schwarz</v>
      </c>
      <c r="C91" t="str">
        <f t="shared" si="3"/>
        <v>69</v>
      </c>
      <c r="D91" s="1">
        <v>145</v>
      </c>
    </row>
    <row r="92" spans="1:4" x14ac:dyDescent="0.25">
      <c r="A92" t="str">
        <f>"BWL-30WW2-1"</f>
        <v>BWL-30WW2-1</v>
      </c>
      <c r="B92" t="str">
        <f>"BWL Einbaudownlight, LED 27W, 3000K, 750mA, 30°, Gehäuse schwarz, weißer Ring"</f>
        <v>BWL Einbaudownlight, LED 27W, 3000K, 750mA, 30°, Gehäuse schwarz, weißer Ring</v>
      </c>
      <c r="C92" t="str">
        <f t="shared" si="3"/>
        <v>69</v>
      </c>
      <c r="D92" s="1">
        <v>145</v>
      </c>
    </row>
    <row r="93" spans="1:4" x14ac:dyDescent="0.25">
      <c r="A93" t="str">
        <f>"BWL-30WW2-1F"</f>
        <v>BWL-30WW2-1F</v>
      </c>
      <c r="B93" t="str">
        <f>"BWL Einbaudownlight, LED 27W, 3000K, 750mA, 60°, Gehäuse schwarz, weißer Ring"</f>
        <v>BWL Einbaudownlight, LED 27W, 3000K, 750mA, 60°, Gehäuse schwarz, weißer Ring</v>
      </c>
      <c r="C93" t="str">
        <f t="shared" si="3"/>
        <v>69</v>
      </c>
      <c r="D93" s="1">
        <v>145</v>
      </c>
    </row>
    <row r="94" spans="1:4" x14ac:dyDescent="0.25">
      <c r="A94" t="str">
        <f>"BWL-40NW1"</f>
        <v>BWL-40NW1</v>
      </c>
      <c r="B94" t="str">
        <f>"BWL, Einbaudownlight, LED 41W, 4000K, 750 mA, 30°, Gehäuse weiß m. weißem Ring"</f>
        <v>BWL, Einbaudownlight, LED 41W, 4000K, 750 mA, 30°, Gehäuse weiß m. weißem Ring</v>
      </c>
      <c r="C94" t="str">
        <f t="shared" ref="C94:C125" si="4">"69"</f>
        <v>69</v>
      </c>
      <c r="D94" s="1">
        <v>160</v>
      </c>
    </row>
    <row r="95" spans="1:4" x14ac:dyDescent="0.25">
      <c r="A95" t="str">
        <f>"BWL-40NW1F"</f>
        <v>BWL-40NW1F</v>
      </c>
      <c r="B95" t="str">
        <f>"BWL, Einbaudownlight, LED 41W, 4000K, 750 mA, 60°, Gehäuse weiß m. weißem Ring"</f>
        <v>BWL, Einbaudownlight, LED 41W, 4000K, 750 mA, 60°, Gehäuse weiß m. weißem Ring</v>
      </c>
      <c r="C95" t="str">
        <f t="shared" si="4"/>
        <v>69</v>
      </c>
      <c r="D95" s="1">
        <v>160</v>
      </c>
    </row>
    <row r="96" spans="1:4" x14ac:dyDescent="0.25">
      <c r="A96" t="str">
        <f>"BWL-40NW1-2"</f>
        <v>BWL-40NW1-2</v>
      </c>
      <c r="B96" t="str">
        <f>"BWL Einbaudownlight, LED 41W, 4000K, 1050mA, 30°, Gehäuse weiß m. schwarzem Ring"</f>
        <v>BWL Einbaudownlight, LED 41W, 4000K, 1050mA, 30°, Gehäuse weiß m. schwarzem Ring</v>
      </c>
      <c r="C96" t="str">
        <f t="shared" si="4"/>
        <v>69</v>
      </c>
      <c r="D96" s="1">
        <v>160</v>
      </c>
    </row>
    <row r="97" spans="1:4" x14ac:dyDescent="0.25">
      <c r="A97" t="str">
        <f>"BWL-40NW1-2F"</f>
        <v>BWL-40NW1-2F</v>
      </c>
      <c r="B97" t="str">
        <f>"BWL, Einbaudownlight, LED 41W, 4000K, 1050mA, 30°, Gehäuse weiß m. weißem Ring"</f>
        <v>BWL, Einbaudownlight, LED 41W, 4000K, 1050mA, 30°, Gehäuse weiß m. weißem Ring</v>
      </c>
      <c r="C97" t="str">
        <f t="shared" si="4"/>
        <v>69</v>
      </c>
      <c r="D97" s="1">
        <v>160</v>
      </c>
    </row>
    <row r="98" spans="1:4" x14ac:dyDescent="0.25">
      <c r="A98" t="str">
        <f>"BWL-40NW2"</f>
        <v>BWL-40NW2</v>
      </c>
      <c r="B98" t="str">
        <f>"BWL Einbaudownlight, LED 41W, 4000K, 1050mA, 30°, Gehäuse und Ring schwarz"</f>
        <v>BWL Einbaudownlight, LED 41W, 4000K, 1050mA, 30°, Gehäuse und Ring schwarz</v>
      </c>
      <c r="C98" t="str">
        <f t="shared" si="4"/>
        <v>69</v>
      </c>
      <c r="D98" s="1">
        <v>160</v>
      </c>
    </row>
    <row r="99" spans="1:4" x14ac:dyDescent="0.25">
      <c r="A99" t="str">
        <f>"BWL-40NW2F"</f>
        <v>BWL-40NW2F</v>
      </c>
      <c r="B99" t="str">
        <f>"BWL Einbaudownlight, LED 41W, 4000K, 1050mA, 60°, Gehäuse und Ring schwarz"</f>
        <v>BWL Einbaudownlight, LED 41W, 4000K, 1050mA, 60°, Gehäuse und Ring schwarz</v>
      </c>
      <c r="C99" t="str">
        <f t="shared" si="4"/>
        <v>69</v>
      </c>
      <c r="D99" s="1">
        <v>160</v>
      </c>
    </row>
    <row r="100" spans="1:4" x14ac:dyDescent="0.25">
      <c r="A100" t="str">
        <f>"BWL-40NW2-1"</f>
        <v>BWL-40NW2-1</v>
      </c>
      <c r="B100" t="str">
        <f>"BWL Einbaudownlight, LED 41W, 4000K, 1050mA, 30°, Gehäuse schwarz, weißer Ring"</f>
        <v>BWL Einbaudownlight, LED 41W, 4000K, 1050mA, 30°, Gehäuse schwarz, weißer Ring</v>
      </c>
      <c r="C100" t="str">
        <f t="shared" si="4"/>
        <v>69</v>
      </c>
      <c r="D100" s="1">
        <v>160</v>
      </c>
    </row>
    <row r="101" spans="1:4" x14ac:dyDescent="0.25">
      <c r="A101" t="str">
        <f>"BWL-40NW2-1F"</f>
        <v>BWL-40NW2-1F</v>
      </c>
      <c r="B101" t="str">
        <f>"BWL Einbaudownlight, LED 41W, 4000K, 1050mA, 60°, Gehäuse schwarz, weißer Ring"</f>
        <v>BWL Einbaudownlight, LED 41W, 4000K, 1050mA, 60°, Gehäuse schwarz, weißer Ring</v>
      </c>
      <c r="C101" t="str">
        <f t="shared" si="4"/>
        <v>69</v>
      </c>
      <c r="D101" s="1">
        <v>160</v>
      </c>
    </row>
    <row r="102" spans="1:4" x14ac:dyDescent="0.25">
      <c r="A102" t="str">
        <f>"BWL-40SW1"</f>
        <v>BWL-40SW1</v>
      </c>
      <c r="B102" t="str">
        <f>"BWL, Einbaudownlight, LED 41W, 2700K, 750 mA, 30°, Gehäuse weiß m. weißem Ring"</f>
        <v>BWL, Einbaudownlight, LED 41W, 2700K, 750 mA, 30°, Gehäuse weiß m. weißem Ring</v>
      </c>
      <c r="C102" t="str">
        <f t="shared" si="4"/>
        <v>69</v>
      </c>
      <c r="D102" s="1">
        <v>160</v>
      </c>
    </row>
    <row r="103" spans="1:4" x14ac:dyDescent="0.25">
      <c r="A103" t="str">
        <f>"BWL-40SW1F"</f>
        <v>BWL-40SW1F</v>
      </c>
      <c r="B103" t="str">
        <f>"BWL, Einbaudownlight, LED 41W, 2700K, 750 mA, 60°, Gehäuse weiß m. weißem Ring"</f>
        <v>BWL, Einbaudownlight, LED 41W, 2700K, 750 mA, 60°, Gehäuse weiß m. weißem Ring</v>
      </c>
      <c r="C103" t="str">
        <f t="shared" si="4"/>
        <v>69</v>
      </c>
      <c r="D103" s="1">
        <v>160</v>
      </c>
    </row>
    <row r="104" spans="1:4" x14ac:dyDescent="0.25">
      <c r="A104" t="str">
        <f>"BWL-40SW1-2"</f>
        <v>BWL-40SW1-2</v>
      </c>
      <c r="B104" t="str">
        <f>"BWL Einbaudownlight, LED 41W, 2700K, 1050mA, 30°, Gehäuse weiß m. schwarzem Ring"</f>
        <v>BWL Einbaudownlight, LED 41W, 2700K, 1050mA, 30°, Gehäuse weiß m. schwarzem Ring</v>
      </c>
      <c r="C104" t="str">
        <f t="shared" si="4"/>
        <v>69</v>
      </c>
      <c r="D104" s="1">
        <v>160</v>
      </c>
    </row>
    <row r="105" spans="1:4" x14ac:dyDescent="0.25">
      <c r="A105" t="str">
        <f>"BWL-40SW1-2F"</f>
        <v>BWL-40SW1-2F</v>
      </c>
      <c r="B105" t="str">
        <f>"BWL Einbaudownlight, LED 41W, 2700K, 1050mA, 60°, Gehäuse weiß m. schwarzem Ring"</f>
        <v>BWL Einbaudownlight, LED 41W, 2700K, 1050mA, 60°, Gehäuse weiß m. schwarzem Ring</v>
      </c>
      <c r="C105" t="str">
        <f t="shared" si="4"/>
        <v>69</v>
      </c>
      <c r="D105" s="1">
        <v>160</v>
      </c>
    </row>
    <row r="106" spans="1:4" x14ac:dyDescent="0.25">
      <c r="A106" t="str">
        <f>"BWL-40SW2"</f>
        <v>BWL-40SW2</v>
      </c>
      <c r="B106" t="str">
        <f>"BWL Einbaudownlight, LED 41W, 2700K, 1050mA, 30°, Gehäuse und Ring schwarz"</f>
        <v>BWL Einbaudownlight, LED 41W, 2700K, 1050mA, 30°, Gehäuse und Ring schwarz</v>
      </c>
      <c r="C106" t="str">
        <f t="shared" si="4"/>
        <v>69</v>
      </c>
      <c r="D106" s="1">
        <v>160</v>
      </c>
    </row>
    <row r="107" spans="1:4" x14ac:dyDescent="0.25">
      <c r="A107" t="str">
        <f>"BWL-40SW2F"</f>
        <v>BWL-40SW2F</v>
      </c>
      <c r="B107" t="str">
        <f>"BWL Einbaudownlight, LED 41W, 2700K, 1050mA, 60°, Gehäuse und Ring schwarz"</f>
        <v>BWL Einbaudownlight, LED 41W, 2700K, 1050mA, 60°, Gehäuse und Ring schwarz</v>
      </c>
      <c r="C107" t="str">
        <f t="shared" si="4"/>
        <v>69</v>
      </c>
      <c r="D107" s="1">
        <v>160</v>
      </c>
    </row>
    <row r="108" spans="1:4" x14ac:dyDescent="0.25">
      <c r="A108" t="str">
        <f>"BWL-40SW2-1"</f>
        <v>BWL-40SW2-1</v>
      </c>
      <c r="B108" t="str">
        <f>"BWL Einbaudownlight, LED 41W, 2700K, 1050mA, 30°, Gehäuse und Ring schwarz"</f>
        <v>BWL Einbaudownlight, LED 41W, 2700K, 1050mA, 30°, Gehäuse und Ring schwarz</v>
      </c>
      <c r="C108" t="str">
        <f t="shared" si="4"/>
        <v>69</v>
      </c>
      <c r="D108" s="1">
        <v>160</v>
      </c>
    </row>
    <row r="109" spans="1:4" x14ac:dyDescent="0.25">
      <c r="A109" t="str">
        <f>"BWL-40SW2-1F"</f>
        <v>BWL-40SW2-1F</v>
      </c>
      <c r="B109" t="str">
        <f>"BWL Einbaudownlight, LED 41W, 2700K, 1050mA, 60°, Gehäuse schwarz, weißer Ring"</f>
        <v>BWL Einbaudownlight, LED 41W, 2700K, 1050mA, 60°, Gehäuse schwarz, weißer Ring</v>
      </c>
      <c r="C109" t="str">
        <f t="shared" si="4"/>
        <v>69</v>
      </c>
      <c r="D109" s="1">
        <v>160</v>
      </c>
    </row>
    <row r="110" spans="1:4" x14ac:dyDescent="0.25">
      <c r="A110" t="str">
        <f>"BWL-40WNW1"</f>
        <v>BWL-40WNW1</v>
      </c>
      <c r="B110" t="str">
        <f>"BWL, Einbaudownlight, LED 41W, 3500K, 750 mA, 30°, Gehäuse weiß m. weißem Ring"</f>
        <v>BWL, Einbaudownlight, LED 41W, 3500K, 750 mA, 30°, Gehäuse weiß m. weißem Ring</v>
      </c>
      <c r="C110" t="str">
        <f t="shared" si="4"/>
        <v>69</v>
      </c>
      <c r="D110" s="1">
        <v>160</v>
      </c>
    </row>
    <row r="111" spans="1:4" x14ac:dyDescent="0.25">
      <c r="A111" t="str">
        <f>"BWL-40WNW1F"</f>
        <v>BWL-40WNW1F</v>
      </c>
      <c r="B111" t="str">
        <f>"BWL, Einbaudownlight, LED 41W, 3500K, 750 mA, 60°, Gehäuse weiß m. weißem Ring"</f>
        <v>BWL, Einbaudownlight, LED 41W, 3500K, 750 mA, 60°, Gehäuse weiß m. weißem Ring</v>
      </c>
      <c r="C111" t="str">
        <f t="shared" si="4"/>
        <v>69</v>
      </c>
      <c r="D111" s="1">
        <v>160</v>
      </c>
    </row>
    <row r="112" spans="1:4" x14ac:dyDescent="0.25">
      <c r="A112" t="str">
        <f>"BWL-40WNW1-2"</f>
        <v>BWL-40WNW1-2</v>
      </c>
      <c r="B112" t="str">
        <f>"BWL Einbaudownlight, LED 41W, 3500K, 1050mA, 30°, Gehäuse weiß m. schwarzem Ring"</f>
        <v>BWL Einbaudownlight, LED 41W, 3500K, 1050mA, 30°, Gehäuse weiß m. schwarzem Ring</v>
      </c>
      <c r="C112" t="str">
        <f t="shared" si="4"/>
        <v>69</v>
      </c>
      <c r="D112" s="1">
        <v>160</v>
      </c>
    </row>
    <row r="113" spans="1:4" x14ac:dyDescent="0.25">
      <c r="A113" t="str">
        <f>"BWL-40WNW1-2F"</f>
        <v>BWL-40WNW1-2F</v>
      </c>
      <c r="B113" t="str">
        <f>"BWL Einbaudownlight, LED 41W, 3500K, 1050mA, 60°, Gehäuse weiß m. schwarzem Ring"</f>
        <v>BWL Einbaudownlight, LED 41W, 3500K, 1050mA, 60°, Gehäuse weiß m. schwarzem Ring</v>
      </c>
      <c r="C113" t="str">
        <f t="shared" si="4"/>
        <v>69</v>
      </c>
      <c r="D113" s="1">
        <v>160</v>
      </c>
    </row>
    <row r="114" spans="1:4" x14ac:dyDescent="0.25">
      <c r="A114" t="str">
        <f>"BWL-40WNW2"</f>
        <v>BWL-40WNW2</v>
      </c>
      <c r="B114" t="str">
        <f>"BWL Einbaudownlight, LED 41W, 3500K, 1050mA, 30°, Gehäuse und Ring schwarz"</f>
        <v>BWL Einbaudownlight, LED 41W, 3500K, 1050mA, 30°, Gehäuse und Ring schwarz</v>
      </c>
      <c r="C114" t="str">
        <f t="shared" si="4"/>
        <v>69</v>
      </c>
      <c r="D114" s="1">
        <v>160</v>
      </c>
    </row>
    <row r="115" spans="1:4" x14ac:dyDescent="0.25">
      <c r="A115" t="str">
        <f>"BWL-40WNW2F"</f>
        <v>BWL-40WNW2F</v>
      </c>
      <c r="B115" t="str">
        <f>"BWL Einbaudownlight, LED 41W, 3500K, 1050mA, 60°, Gehäuse und Ring schwarz"</f>
        <v>BWL Einbaudownlight, LED 41W, 3500K, 1050mA, 60°, Gehäuse und Ring schwarz</v>
      </c>
      <c r="C115" t="str">
        <f t="shared" si="4"/>
        <v>69</v>
      </c>
      <c r="D115" s="1">
        <v>160</v>
      </c>
    </row>
    <row r="116" spans="1:4" x14ac:dyDescent="0.25">
      <c r="A116" t="str">
        <f>"BWL-40WNW2-1"</f>
        <v>BWL-40WNW2-1</v>
      </c>
      <c r="B116" t="str">
        <f>"BWL Einbaudownlight, LED 41W, 3500K, 1050mA, 30°, Gehäuse schwarz, weißer Ring"</f>
        <v>BWL Einbaudownlight, LED 41W, 3500K, 1050mA, 30°, Gehäuse schwarz, weißer Ring</v>
      </c>
      <c r="C116" t="str">
        <f t="shared" si="4"/>
        <v>69</v>
      </c>
      <c r="D116" s="1">
        <v>160</v>
      </c>
    </row>
    <row r="117" spans="1:4" x14ac:dyDescent="0.25">
      <c r="A117" t="str">
        <f>"BWL-40WNW2-1F"</f>
        <v>BWL-40WNW2-1F</v>
      </c>
      <c r="B117" t="str">
        <f>"BWL Einbaudownlight, LED 41W, 3500K, 1050mA, 60°, Gehäuse schwarz, weißer Ring"</f>
        <v>BWL Einbaudownlight, LED 41W, 3500K, 1050mA, 60°, Gehäuse schwarz, weißer Ring</v>
      </c>
      <c r="C117" t="str">
        <f t="shared" si="4"/>
        <v>69</v>
      </c>
      <c r="D117" s="1">
        <v>160</v>
      </c>
    </row>
    <row r="118" spans="1:4" x14ac:dyDescent="0.25">
      <c r="A118" t="str">
        <f>"BWL-40WW1"</f>
        <v>BWL-40WW1</v>
      </c>
      <c r="B118" t="str">
        <f>"BWL, Einbaudownlight, LED 41W, 3000K, 750 mA, 30°, Gehäuse weiß m. weißem Ring"</f>
        <v>BWL, Einbaudownlight, LED 41W, 3000K, 750 mA, 30°, Gehäuse weiß m. weißem Ring</v>
      </c>
      <c r="C118" t="str">
        <f t="shared" si="4"/>
        <v>69</v>
      </c>
      <c r="D118" s="1">
        <v>160</v>
      </c>
    </row>
    <row r="119" spans="1:4" x14ac:dyDescent="0.25">
      <c r="A119" t="str">
        <f>"BWL-40WW1F"</f>
        <v>BWL-40WW1F</v>
      </c>
      <c r="B119" t="str">
        <f>"BWL, Einbaudownlight, LED 41W, 3000K, 750 mA, 60°, Gehäuse weiß m. weißem Ring"</f>
        <v>BWL, Einbaudownlight, LED 41W, 3000K, 750 mA, 60°, Gehäuse weiß m. weißem Ring</v>
      </c>
      <c r="C119" t="str">
        <f t="shared" si="4"/>
        <v>69</v>
      </c>
      <c r="D119" s="1">
        <v>160</v>
      </c>
    </row>
    <row r="120" spans="1:4" x14ac:dyDescent="0.25">
      <c r="A120" t="str">
        <f>"BWL-40WW1-2"</f>
        <v>BWL-40WW1-2</v>
      </c>
      <c r="B120" t="str">
        <f>"BWL Einbaudownlight, LED 41W, 3000K, 1050mA, 30°, Gehäuse weiß m. schwarzem Ring"</f>
        <v>BWL Einbaudownlight, LED 41W, 3000K, 1050mA, 30°, Gehäuse weiß m. schwarzem Ring</v>
      </c>
      <c r="C120" t="str">
        <f t="shared" si="4"/>
        <v>69</v>
      </c>
      <c r="D120" s="1">
        <v>160</v>
      </c>
    </row>
    <row r="121" spans="1:4" x14ac:dyDescent="0.25">
      <c r="A121" t="str">
        <f>"BWL-40WW1-2F"</f>
        <v>BWL-40WW1-2F</v>
      </c>
      <c r="B121" t="str">
        <f>"BWL Einbaudownlight, LED 41W, 3000K, 1050mA, 60°, Gehäuse weiß m. schwarzem Ring"</f>
        <v>BWL Einbaudownlight, LED 41W, 3000K, 1050mA, 60°, Gehäuse weiß m. schwarzem Ring</v>
      </c>
      <c r="C121" t="str">
        <f t="shared" si="4"/>
        <v>69</v>
      </c>
      <c r="D121" s="1">
        <v>160</v>
      </c>
    </row>
    <row r="122" spans="1:4" x14ac:dyDescent="0.25">
      <c r="A122" t="str">
        <f>"BWL-40WW2"</f>
        <v>BWL-40WW2</v>
      </c>
      <c r="B122" t="str">
        <f>"BWL Einbaudownlight, LED 41W, 3000K, 1050mA, 30°, Gehäuse und Ring schwarz"</f>
        <v>BWL Einbaudownlight, LED 41W, 3000K, 1050mA, 30°, Gehäuse und Ring schwarz</v>
      </c>
      <c r="C122" t="str">
        <f t="shared" si="4"/>
        <v>69</v>
      </c>
      <c r="D122" s="1">
        <v>160</v>
      </c>
    </row>
    <row r="123" spans="1:4" x14ac:dyDescent="0.25">
      <c r="A123" t="str">
        <f>"BWL-40WW2F"</f>
        <v>BWL-40WW2F</v>
      </c>
      <c r="B123" t="str">
        <f>"BWL Einbaudownlight, LED 41W, 3000K, 1050mA, 60°, Gehäuse und Ring schwarz"</f>
        <v>BWL Einbaudownlight, LED 41W, 3000K, 1050mA, 60°, Gehäuse und Ring schwarz</v>
      </c>
      <c r="C123" t="str">
        <f t="shared" si="4"/>
        <v>69</v>
      </c>
      <c r="D123" s="1">
        <v>160</v>
      </c>
    </row>
    <row r="124" spans="1:4" x14ac:dyDescent="0.25">
      <c r="A124" t="str">
        <f>"BWL-40WW2-1"</f>
        <v>BWL-40WW2-1</v>
      </c>
      <c r="B124" t="str">
        <f>"BWL Einbaudownlight, LED 41W, 3000K, 1050mA, 30°, Gehäuse schwarz, weißer Ring"</f>
        <v>BWL Einbaudownlight, LED 41W, 3000K, 1050mA, 30°, Gehäuse schwarz, weißer Ring</v>
      </c>
      <c r="C124" t="str">
        <f t="shared" si="4"/>
        <v>69</v>
      </c>
      <c r="D124" s="1">
        <v>160</v>
      </c>
    </row>
    <row r="125" spans="1:4" x14ac:dyDescent="0.25">
      <c r="A125" t="str">
        <f>"BWL-40WW2-1F"</f>
        <v>BWL-40WW2-1F</v>
      </c>
      <c r="B125" t="str">
        <f>"BWL Einbaudownlight, LED 41W, 3000K, 1050mA, 60°, Gehäuse schwarz, weißer Ring"</f>
        <v>BWL Einbaudownlight, LED 41W, 3000K, 1050mA, 60°, Gehäuse schwarz, weißer Ring</v>
      </c>
      <c r="C125" t="str">
        <f t="shared" si="4"/>
        <v>69</v>
      </c>
      <c r="D125" s="1">
        <v>160</v>
      </c>
    </row>
    <row r="126" spans="1:4" x14ac:dyDescent="0.25">
      <c r="A126" t="str">
        <f>"BWS-30NW11-1"</f>
        <v>BWS-30NW11-1</v>
      </c>
      <c r="B126" t="str">
        <f>"BWS, Schienenstrahler, CoB LED, 26W, 24°, 4000K, Gehäuse weiss"</f>
        <v>BWS, Schienenstrahler, CoB LED, 26W, 24°, 4000K, Gehäuse weiss</v>
      </c>
      <c r="C126" t="str">
        <f t="shared" ref="C126:C173" si="5">"15"</f>
        <v>15</v>
      </c>
      <c r="D126" s="1">
        <v>137.5</v>
      </c>
    </row>
    <row r="127" spans="1:4" x14ac:dyDescent="0.25">
      <c r="A127" t="str">
        <f>"BWS-30NW11-1F"</f>
        <v>BWS-30NW11-1F</v>
      </c>
      <c r="B127" t="str">
        <f>"BWS, Schienenstrahler, CoB LED, 26W, 40°, 4000K, Gehäuse weiss"</f>
        <v>BWS, Schienenstrahler, CoB LED, 26W, 40°, 4000K, Gehäuse weiss</v>
      </c>
      <c r="C127" t="str">
        <f t="shared" si="5"/>
        <v>15</v>
      </c>
      <c r="D127" s="1">
        <v>137.5</v>
      </c>
    </row>
    <row r="128" spans="1:4" x14ac:dyDescent="0.25">
      <c r="A128" t="str">
        <f>"BWS-30NW11-1S"</f>
        <v>BWS-30NW11-1S</v>
      </c>
      <c r="B128" t="str">
        <f>"BWS, Schienenstrahler, CoB LED, 26W, 15°, 4000K , Gehäuse weiss"</f>
        <v>BWS, Schienenstrahler, CoB LED, 26W, 15°, 4000K , Gehäuse weiss</v>
      </c>
      <c r="C128" t="str">
        <f t="shared" si="5"/>
        <v>15</v>
      </c>
      <c r="D128" s="1">
        <v>137.5</v>
      </c>
    </row>
    <row r="129" spans="1:4" x14ac:dyDescent="0.25">
      <c r="A129" t="str">
        <f>"BWS-30NW11-1-60"</f>
        <v>BWS-30NW11-1-60</v>
      </c>
      <c r="B129" t="str">
        <f>"BWS, Schienenstrahler, CoB LED, 26W, 60°, 4000K, Gehäuse weiss"</f>
        <v>BWS, Schienenstrahler, CoB LED, 26W, 60°, 4000K, Gehäuse weiss</v>
      </c>
      <c r="C129" t="str">
        <f t="shared" si="5"/>
        <v>15</v>
      </c>
      <c r="D129" s="1">
        <v>137.5</v>
      </c>
    </row>
    <row r="130" spans="1:4" x14ac:dyDescent="0.25">
      <c r="A130" t="str">
        <f>"BWS-30NW12"</f>
        <v>BWS-30NW12</v>
      </c>
      <c r="B130" t="str">
        <f>"BWS, Schienenstrahler, CoB LED, 26W, 24°, 4000K, Gehäuse schwarz"</f>
        <v>BWS, Schienenstrahler, CoB LED, 26W, 24°, 4000K, Gehäuse schwarz</v>
      </c>
      <c r="C130" t="str">
        <f t="shared" si="5"/>
        <v>15</v>
      </c>
      <c r="D130" s="1">
        <v>137.5</v>
      </c>
    </row>
    <row r="131" spans="1:4" x14ac:dyDescent="0.25">
      <c r="A131" t="str">
        <f>"BWS-30NW12F"</f>
        <v>BWS-30NW12F</v>
      </c>
      <c r="B131" t="str">
        <f>"BWS, Schienenstrahler, CoB LED, 26W, 40°, 4000K , Gehäuse schwarz"</f>
        <v>BWS, Schienenstrahler, CoB LED, 26W, 40°, 4000K , Gehäuse schwarz</v>
      </c>
      <c r="C131" t="str">
        <f t="shared" si="5"/>
        <v>15</v>
      </c>
      <c r="D131" s="1">
        <v>137.5</v>
      </c>
    </row>
    <row r="132" spans="1:4" x14ac:dyDescent="0.25">
      <c r="A132" t="str">
        <f>"BWS-30NW12S"</f>
        <v>BWS-30NW12S</v>
      </c>
      <c r="B132" t="str">
        <f>"BWS, Schienenstrahler, CoB LED, 26W, 15°, 4000K, Gehäuse schwarz"</f>
        <v>BWS, Schienenstrahler, CoB LED, 26W, 15°, 4000K, Gehäuse schwarz</v>
      </c>
      <c r="C132" t="str">
        <f t="shared" si="5"/>
        <v>15</v>
      </c>
      <c r="D132" s="1">
        <v>137.5</v>
      </c>
    </row>
    <row r="133" spans="1:4" x14ac:dyDescent="0.25">
      <c r="A133" t="str">
        <f>"BWS-30NW12/1"</f>
        <v>BWS-30NW12/1</v>
      </c>
      <c r="B133" t="str">
        <f>"BWS, Schienenstrahler, CoB LED, 26W, 24°, 4000K , Gehäuse schwarz/weiss"</f>
        <v>BWS, Schienenstrahler, CoB LED, 26W, 24°, 4000K , Gehäuse schwarz/weiss</v>
      </c>
      <c r="C133" t="str">
        <f t="shared" si="5"/>
        <v>15</v>
      </c>
      <c r="D133" s="1">
        <v>137.5</v>
      </c>
    </row>
    <row r="134" spans="1:4" x14ac:dyDescent="0.25">
      <c r="A134" t="str">
        <f>"BWS-30NW12/1F"</f>
        <v>BWS-30NW12/1F</v>
      </c>
      <c r="B134" t="str">
        <f>"BWS, Schienenstrahler, CoB LED, 26W, 40°, 4000K , Gehäuse schwarz/weiss"</f>
        <v>BWS, Schienenstrahler, CoB LED, 26W, 40°, 4000K , Gehäuse schwarz/weiss</v>
      </c>
      <c r="C134" t="str">
        <f t="shared" si="5"/>
        <v>15</v>
      </c>
      <c r="D134" s="1">
        <v>137.5</v>
      </c>
    </row>
    <row r="135" spans="1:4" x14ac:dyDescent="0.25">
      <c r="A135" t="str">
        <f>"BWS-30NW12/1S"</f>
        <v>BWS-30NW12/1S</v>
      </c>
      <c r="B135" t="str">
        <f>"BWS, Schienenstrahler, CoB LED, 26W, 15°, 4000K, Gehäuse schwarz/weiss"</f>
        <v>BWS, Schienenstrahler, CoB LED, 26W, 15°, 4000K, Gehäuse schwarz/weiss</v>
      </c>
      <c r="C135" t="str">
        <f t="shared" si="5"/>
        <v>15</v>
      </c>
      <c r="D135" s="1">
        <v>137.5</v>
      </c>
    </row>
    <row r="136" spans="1:4" x14ac:dyDescent="0.25">
      <c r="A136" t="str">
        <f>"BWS-30NW12/1-60"</f>
        <v>BWS-30NW12/1-60</v>
      </c>
      <c r="B136" t="str">
        <f>"BWS, Schienenstrahler, CoB LED, 26W, 60°, 4000K, Gehäuse schwarz/weiss"</f>
        <v>BWS, Schienenstrahler, CoB LED, 26W, 60°, 4000K, Gehäuse schwarz/weiss</v>
      </c>
      <c r="C136" t="str">
        <f t="shared" si="5"/>
        <v>15</v>
      </c>
      <c r="D136" s="1">
        <v>137.5</v>
      </c>
    </row>
    <row r="137" spans="1:4" x14ac:dyDescent="0.25">
      <c r="A137" t="str">
        <f>"BWS-30NW12-60"</f>
        <v>BWS-30NW12-60</v>
      </c>
      <c r="B137" t="str">
        <f>"BWS, Schienenstrahler, CoB LED, 26W, 60°, 4000K, Gehäuse schwarz"</f>
        <v>BWS, Schienenstrahler, CoB LED, 26W, 60°, 4000K, Gehäuse schwarz</v>
      </c>
      <c r="C137" t="str">
        <f t="shared" si="5"/>
        <v>15</v>
      </c>
      <c r="D137" s="1">
        <v>137.5</v>
      </c>
    </row>
    <row r="138" spans="1:4" x14ac:dyDescent="0.25">
      <c r="A138" t="str">
        <f>"BWS-30SW11-1"</f>
        <v>BWS-30SW11-1</v>
      </c>
      <c r="B138" t="str">
        <f>"BWS, Schienenstrahler, CoB LED, 26W, 24°, 2700K, Gehäuse weiss"</f>
        <v>BWS, Schienenstrahler, CoB LED, 26W, 24°, 2700K, Gehäuse weiss</v>
      </c>
      <c r="C138" t="str">
        <f t="shared" si="5"/>
        <v>15</v>
      </c>
      <c r="D138" s="1">
        <v>137.5</v>
      </c>
    </row>
    <row r="139" spans="1:4" x14ac:dyDescent="0.25">
      <c r="A139" t="str">
        <f>"BWS-30SW11-1F"</f>
        <v>BWS-30SW11-1F</v>
      </c>
      <c r="B139" t="str">
        <f>"BWS, Schienenstrahler, CoB LED, 26W, 40°, 2700K, Gehäuse weiss"</f>
        <v>BWS, Schienenstrahler, CoB LED, 26W, 40°, 2700K, Gehäuse weiss</v>
      </c>
      <c r="C139" t="str">
        <f t="shared" si="5"/>
        <v>15</v>
      </c>
      <c r="D139" s="1">
        <v>137.5</v>
      </c>
    </row>
    <row r="140" spans="1:4" x14ac:dyDescent="0.25">
      <c r="A140" t="str">
        <f>"BWS-30SW11-1S"</f>
        <v>BWS-30SW11-1S</v>
      </c>
      <c r="B140" t="str">
        <f>"BWS, Schienenstrahler, CoB LED, 26W, 15°, 2700K, Gehäuse weiss"</f>
        <v>BWS, Schienenstrahler, CoB LED, 26W, 15°, 2700K, Gehäuse weiss</v>
      </c>
      <c r="C140" t="str">
        <f t="shared" si="5"/>
        <v>15</v>
      </c>
      <c r="D140" s="1">
        <v>137.5</v>
      </c>
    </row>
    <row r="141" spans="1:4" x14ac:dyDescent="0.25">
      <c r="A141" t="str">
        <f>"BWS-30SW11-1-60"</f>
        <v>BWS-30SW11-1-60</v>
      </c>
      <c r="B141" t="str">
        <f>"BWS, Schienenstrahler, CoB LED, 26W, 60°, 2700K, Gehäuse weiss"</f>
        <v>BWS, Schienenstrahler, CoB LED, 26W, 60°, 2700K, Gehäuse weiss</v>
      </c>
      <c r="C141" t="str">
        <f t="shared" si="5"/>
        <v>15</v>
      </c>
      <c r="D141" s="1">
        <v>137.5</v>
      </c>
    </row>
    <row r="142" spans="1:4" x14ac:dyDescent="0.25">
      <c r="A142" t="str">
        <f>"BWS-30SW12"</f>
        <v>BWS-30SW12</v>
      </c>
      <c r="B142" t="str">
        <f>"BWS, Schienenstrahler, CoB LED, 26W, 24°, 2700K, Gehäuse schwarz"</f>
        <v>BWS, Schienenstrahler, CoB LED, 26W, 24°, 2700K, Gehäuse schwarz</v>
      </c>
      <c r="C142" t="str">
        <f t="shared" si="5"/>
        <v>15</v>
      </c>
      <c r="D142" s="1">
        <v>137.5</v>
      </c>
    </row>
    <row r="143" spans="1:4" x14ac:dyDescent="0.25">
      <c r="A143" t="str">
        <f>"BWS-30SW12F"</f>
        <v>BWS-30SW12F</v>
      </c>
      <c r="B143" t="str">
        <f>"BWS, Schienenstrahler, CoB LED, 26W, 40°, 2700K, Gehäuse schwarz"</f>
        <v>BWS, Schienenstrahler, CoB LED, 26W, 40°, 2700K, Gehäuse schwarz</v>
      </c>
      <c r="C143" t="str">
        <f t="shared" si="5"/>
        <v>15</v>
      </c>
      <c r="D143" s="1">
        <v>137.5</v>
      </c>
    </row>
    <row r="144" spans="1:4" x14ac:dyDescent="0.25">
      <c r="A144" t="str">
        <f>"BWS-30SW12S"</f>
        <v>BWS-30SW12S</v>
      </c>
      <c r="B144" t="str">
        <f>"BWS, Schienenstrahler, CoB LED, 26W, 15°, 2700K, Gehäuse schwarz"</f>
        <v>BWS, Schienenstrahler, CoB LED, 26W, 15°, 2700K, Gehäuse schwarz</v>
      </c>
      <c r="C144" t="str">
        <f t="shared" si="5"/>
        <v>15</v>
      </c>
      <c r="D144" s="1">
        <v>137.5</v>
      </c>
    </row>
    <row r="145" spans="1:4" x14ac:dyDescent="0.25">
      <c r="A145" t="str">
        <f>"BWS-30SW12/1"</f>
        <v>BWS-30SW12/1</v>
      </c>
      <c r="B145" t="str">
        <f>"BWS, Schienenstrahler, CoB LED, 26W, 24°, 2700K, Gehäuse schwarz/weiss"</f>
        <v>BWS, Schienenstrahler, CoB LED, 26W, 24°, 2700K, Gehäuse schwarz/weiss</v>
      </c>
      <c r="C145" t="str">
        <f t="shared" si="5"/>
        <v>15</v>
      </c>
      <c r="D145" s="1">
        <v>137.5</v>
      </c>
    </row>
    <row r="146" spans="1:4" x14ac:dyDescent="0.25">
      <c r="A146" t="str">
        <f>"BWS-30SW12/1F"</f>
        <v>BWS-30SW12/1F</v>
      </c>
      <c r="B146" t="str">
        <f>"BWS, Schienenstrahler, CoB LED, 26W, 40°, 2700K, Gehäuse schwarz/weiss"</f>
        <v>BWS, Schienenstrahler, CoB LED, 26W, 40°, 2700K, Gehäuse schwarz/weiss</v>
      </c>
      <c r="C146" t="str">
        <f t="shared" si="5"/>
        <v>15</v>
      </c>
      <c r="D146" s="1">
        <v>137.5</v>
      </c>
    </row>
    <row r="147" spans="1:4" x14ac:dyDescent="0.25">
      <c r="A147" t="str">
        <f>"BWS-30SW12/1S"</f>
        <v>BWS-30SW12/1S</v>
      </c>
      <c r="B147" t="str">
        <f>"BWS, Schienenstrahler, CoB LED, 26W, 15°, 2700K, Gehäuse schwarz/weiss"</f>
        <v>BWS, Schienenstrahler, CoB LED, 26W, 15°, 2700K, Gehäuse schwarz/weiss</v>
      </c>
      <c r="C147" t="str">
        <f t="shared" si="5"/>
        <v>15</v>
      </c>
      <c r="D147" s="1">
        <v>137.5</v>
      </c>
    </row>
    <row r="148" spans="1:4" x14ac:dyDescent="0.25">
      <c r="A148" t="str">
        <f>"BWS-30SW12/1-60"</f>
        <v>BWS-30SW12/1-60</v>
      </c>
      <c r="B148" t="str">
        <f>"BWS, Schienenstrahler, CoB LED, 26W, 60°, 2700K, Gehäuse schwarz/weiss"</f>
        <v>BWS, Schienenstrahler, CoB LED, 26W, 60°, 2700K, Gehäuse schwarz/weiss</v>
      </c>
      <c r="C148" t="str">
        <f t="shared" si="5"/>
        <v>15</v>
      </c>
      <c r="D148" s="1">
        <v>137.5</v>
      </c>
    </row>
    <row r="149" spans="1:4" x14ac:dyDescent="0.25">
      <c r="A149" t="str">
        <f>"BWS-30SW12-60"</f>
        <v>BWS-30SW12-60</v>
      </c>
      <c r="B149" t="str">
        <f>"BWS, Schienenstrahler, CoB LED, 26W, 60°, 2700K, Gehäuse schwarz"</f>
        <v>BWS, Schienenstrahler, CoB LED, 26W, 60°, 2700K, Gehäuse schwarz</v>
      </c>
      <c r="C149" t="str">
        <f t="shared" si="5"/>
        <v>15</v>
      </c>
      <c r="D149" s="1">
        <v>137.5</v>
      </c>
    </row>
    <row r="150" spans="1:4" x14ac:dyDescent="0.25">
      <c r="A150" t="str">
        <f>"BWS-30WNW11-1"</f>
        <v>BWS-30WNW11-1</v>
      </c>
      <c r="B150" t="str">
        <f>"BWS, Schienenstrahler, CoB LED, 26W, 24°, 3500K, Gehäuse weiss"</f>
        <v>BWS, Schienenstrahler, CoB LED, 26W, 24°, 3500K, Gehäuse weiss</v>
      </c>
      <c r="C150" t="str">
        <f t="shared" si="5"/>
        <v>15</v>
      </c>
      <c r="D150" s="1">
        <v>137.5</v>
      </c>
    </row>
    <row r="151" spans="1:4" x14ac:dyDescent="0.25">
      <c r="A151" t="str">
        <f>"BWS-30WNW11-1F"</f>
        <v>BWS-30WNW11-1F</v>
      </c>
      <c r="B151" t="str">
        <f>"BWS, Schienenstrahler, CoB LED, 26W, 40°, 3500K, Gehäuse weiss"</f>
        <v>BWS, Schienenstrahler, CoB LED, 26W, 40°, 3500K, Gehäuse weiss</v>
      </c>
      <c r="C151" t="str">
        <f t="shared" si="5"/>
        <v>15</v>
      </c>
      <c r="D151" s="1">
        <v>137.5</v>
      </c>
    </row>
    <row r="152" spans="1:4" x14ac:dyDescent="0.25">
      <c r="A152" t="str">
        <f>"BWS-30WNW11-1S"</f>
        <v>BWS-30WNW11-1S</v>
      </c>
      <c r="B152" t="str">
        <f>"BWS, Schienenstrahler, CoB LED, 26W, 15°, 3500K, Gehäuse weiß"</f>
        <v>BWS, Schienenstrahler, CoB LED, 26W, 15°, 3500K, Gehäuse weiß</v>
      </c>
      <c r="C152" t="str">
        <f t="shared" si="5"/>
        <v>15</v>
      </c>
      <c r="D152" s="1">
        <v>137.5</v>
      </c>
    </row>
    <row r="153" spans="1:4" x14ac:dyDescent="0.25">
      <c r="A153" t="str">
        <f>"BWS-30WNW11-1-60"</f>
        <v>BWS-30WNW11-1-60</v>
      </c>
      <c r="B153" t="str">
        <f>"BWS, Schienenstrahler, CoB LED, 26W, 60°, 3500K, Gehäuse weiss"</f>
        <v>BWS, Schienenstrahler, CoB LED, 26W, 60°, 3500K, Gehäuse weiss</v>
      </c>
      <c r="C153" t="str">
        <f t="shared" si="5"/>
        <v>15</v>
      </c>
      <c r="D153" s="1">
        <v>137.5</v>
      </c>
    </row>
    <row r="154" spans="1:4" x14ac:dyDescent="0.25">
      <c r="A154" t="str">
        <f>"BWS-30WNW12"</f>
        <v>BWS-30WNW12</v>
      </c>
      <c r="B154" t="str">
        <f>"BWS, Schienenstrahler, CoB LED, 26W, 24°, 3500K, Gehäuse schwarz"</f>
        <v>BWS, Schienenstrahler, CoB LED, 26W, 24°, 3500K, Gehäuse schwarz</v>
      </c>
      <c r="C154" t="str">
        <f t="shared" si="5"/>
        <v>15</v>
      </c>
      <c r="D154" s="1">
        <v>137.5</v>
      </c>
    </row>
    <row r="155" spans="1:4" x14ac:dyDescent="0.25">
      <c r="A155" t="str">
        <f>"BWS-30WNW12F"</f>
        <v>BWS-30WNW12F</v>
      </c>
      <c r="B155" t="str">
        <f>"BWS, Schienenstrahler, CoB LED, 26W, 40°, 3500K, Gehäuse schwarz"</f>
        <v>BWS, Schienenstrahler, CoB LED, 26W, 40°, 3500K, Gehäuse schwarz</v>
      </c>
      <c r="C155" t="str">
        <f t="shared" si="5"/>
        <v>15</v>
      </c>
      <c r="D155" s="1">
        <v>137.5</v>
      </c>
    </row>
    <row r="156" spans="1:4" x14ac:dyDescent="0.25">
      <c r="A156" t="str">
        <f>"BWS-30WNW12S"</f>
        <v>BWS-30WNW12S</v>
      </c>
      <c r="B156" t="str">
        <f>"BWS, Schienenstrahler, CoB LED, 26W, 15°, 3500K, Gehäuse schwarz"</f>
        <v>BWS, Schienenstrahler, CoB LED, 26W, 15°, 3500K, Gehäuse schwarz</v>
      </c>
      <c r="C156" t="str">
        <f t="shared" si="5"/>
        <v>15</v>
      </c>
      <c r="D156" s="1">
        <v>137.5</v>
      </c>
    </row>
    <row r="157" spans="1:4" x14ac:dyDescent="0.25">
      <c r="A157" t="str">
        <f>"BWS-30WNW12/1"</f>
        <v>BWS-30WNW12/1</v>
      </c>
      <c r="B157" t="str">
        <f>"BWS, Schienenstrahler, CoB LED, 26W, 24°, 3500K, Gehäuse schwarz/weiss"</f>
        <v>BWS, Schienenstrahler, CoB LED, 26W, 24°, 3500K, Gehäuse schwarz/weiss</v>
      </c>
      <c r="C157" t="str">
        <f t="shared" si="5"/>
        <v>15</v>
      </c>
      <c r="D157" s="1">
        <v>137.5</v>
      </c>
    </row>
    <row r="158" spans="1:4" x14ac:dyDescent="0.25">
      <c r="A158" t="str">
        <f>"BWS-30WNW12/1F"</f>
        <v>BWS-30WNW12/1F</v>
      </c>
      <c r="B158" t="str">
        <f>"BWS, Schienenstrahler, CoB LED, 26W, 40°, 3500K, Gehäuse schwarz/weiss"</f>
        <v>BWS, Schienenstrahler, CoB LED, 26W, 40°, 3500K, Gehäuse schwarz/weiss</v>
      </c>
      <c r="C158" t="str">
        <f t="shared" si="5"/>
        <v>15</v>
      </c>
      <c r="D158" s="1">
        <v>137.5</v>
      </c>
    </row>
    <row r="159" spans="1:4" x14ac:dyDescent="0.25">
      <c r="A159" t="str">
        <f>"BWS-30WNW12/1S"</f>
        <v>BWS-30WNW12/1S</v>
      </c>
      <c r="B159" t="str">
        <f>"BWS, Schienenstrahler, CoB LED, 26W, 15°, 3500K, Gehäuse schwarz/weiß"</f>
        <v>BWS, Schienenstrahler, CoB LED, 26W, 15°, 3500K, Gehäuse schwarz/weiß</v>
      </c>
      <c r="C159" t="str">
        <f t="shared" si="5"/>
        <v>15</v>
      </c>
      <c r="D159" s="1">
        <v>137.5</v>
      </c>
    </row>
    <row r="160" spans="1:4" x14ac:dyDescent="0.25">
      <c r="A160" t="str">
        <f>"BWS-30WNW12/1-60"</f>
        <v>BWS-30WNW12/1-60</v>
      </c>
      <c r="B160" t="str">
        <f>"BWS, Schienenstrahler, CoB LED, 26W, 60°, 3500K, Gehäuse schwarz/weiss"</f>
        <v>BWS, Schienenstrahler, CoB LED, 26W, 60°, 3500K, Gehäuse schwarz/weiss</v>
      </c>
      <c r="C160" t="str">
        <f t="shared" si="5"/>
        <v>15</v>
      </c>
      <c r="D160" s="1">
        <v>137.5</v>
      </c>
    </row>
    <row r="161" spans="1:4" x14ac:dyDescent="0.25">
      <c r="A161" t="str">
        <f>"BWS-30WNW12-60"</f>
        <v>BWS-30WNW12-60</v>
      </c>
      <c r="B161" t="str">
        <f>"BWS, Schienenstrahler, CoB LED, 26W, 60°, 3500K, Gehäuse schwarz"</f>
        <v>BWS, Schienenstrahler, CoB LED, 26W, 60°, 3500K, Gehäuse schwarz</v>
      </c>
      <c r="C161" t="str">
        <f t="shared" si="5"/>
        <v>15</v>
      </c>
      <c r="D161" s="1">
        <v>137.5</v>
      </c>
    </row>
    <row r="162" spans="1:4" x14ac:dyDescent="0.25">
      <c r="A162" t="str">
        <f>"BWS-30WW11-1"</f>
        <v>BWS-30WW11-1</v>
      </c>
      <c r="B162" t="str">
        <f>"BWS, Schienenstrahler, CoB LED, 26W, 24°, 3000K, Gehäuse weiss"</f>
        <v>BWS, Schienenstrahler, CoB LED, 26W, 24°, 3000K, Gehäuse weiss</v>
      </c>
      <c r="C162" t="str">
        <f t="shared" si="5"/>
        <v>15</v>
      </c>
      <c r="D162" s="1">
        <v>137.5</v>
      </c>
    </row>
    <row r="163" spans="1:4" x14ac:dyDescent="0.25">
      <c r="A163" t="str">
        <f>"BWS-30WW11-1F"</f>
        <v>BWS-30WW11-1F</v>
      </c>
      <c r="B163" t="str">
        <f>"BWS, Schienenstrahler, CoB LED, 26W, 40°, 3000K, Gehäuse weiss"</f>
        <v>BWS, Schienenstrahler, CoB LED, 26W, 40°, 3000K, Gehäuse weiss</v>
      </c>
      <c r="C163" t="str">
        <f t="shared" si="5"/>
        <v>15</v>
      </c>
      <c r="D163" s="1">
        <v>137.5</v>
      </c>
    </row>
    <row r="164" spans="1:4" x14ac:dyDescent="0.25">
      <c r="A164" t="str">
        <f>"BWS-30WW11-1S"</f>
        <v>BWS-30WW11-1S</v>
      </c>
      <c r="B164" t="str">
        <f>"BWS, Schienenstrahler, CoB LED, 26W, 15°, 3000K, Gehäuse weiss"</f>
        <v>BWS, Schienenstrahler, CoB LED, 26W, 15°, 3000K, Gehäuse weiss</v>
      </c>
      <c r="C164" t="str">
        <f t="shared" si="5"/>
        <v>15</v>
      </c>
      <c r="D164" s="1">
        <v>137.5</v>
      </c>
    </row>
    <row r="165" spans="1:4" x14ac:dyDescent="0.25">
      <c r="A165" t="str">
        <f>"BWS-30WW11-1-60"</f>
        <v>BWS-30WW11-1-60</v>
      </c>
      <c r="B165" t="str">
        <f>"BWS, Schienenstrahler, CoB LED, 26W, 60°, 3000K, Gehäuse weiss"</f>
        <v>BWS, Schienenstrahler, CoB LED, 26W, 60°, 3000K, Gehäuse weiss</v>
      </c>
      <c r="C165" t="str">
        <f t="shared" si="5"/>
        <v>15</v>
      </c>
      <c r="D165" s="1">
        <v>137.5</v>
      </c>
    </row>
    <row r="166" spans="1:4" x14ac:dyDescent="0.25">
      <c r="A166" t="str">
        <f>"BWS-30WW12"</f>
        <v>BWS-30WW12</v>
      </c>
      <c r="B166" t="str">
        <f>"BWS, Schienenstrahler, CoB LED, 26W, 24°, 3000K, Gehäuse schwarz"</f>
        <v>BWS, Schienenstrahler, CoB LED, 26W, 24°, 3000K, Gehäuse schwarz</v>
      </c>
      <c r="C166" t="str">
        <f t="shared" si="5"/>
        <v>15</v>
      </c>
      <c r="D166" s="1">
        <v>137.5</v>
      </c>
    </row>
    <row r="167" spans="1:4" x14ac:dyDescent="0.25">
      <c r="A167" t="str">
        <f>"BWS-30WW12F"</f>
        <v>BWS-30WW12F</v>
      </c>
      <c r="B167" t="str">
        <f>"BWS, Schienenstrahler, CoB LED, 26W, 40°, 3000K, Gehäuse schwarz"</f>
        <v>BWS, Schienenstrahler, CoB LED, 26W, 40°, 3000K, Gehäuse schwarz</v>
      </c>
      <c r="C167" t="str">
        <f t="shared" si="5"/>
        <v>15</v>
      </c>
      <c r="D167" s="1">
        <v>137.5</v>
      </c>
    </row>
    <row r="168" spans="1:4" x14ac:dyDescent="0.25">
      <c r="A168" t="str">
        <f>"BWS-30WW12S"</f>
        <v>BWS-30WW12S</v>
      </c>
      <c r="B168" t="str">
        <f>"BWS, Schienenstrahler, CoB LED, 26W, 15°, 3000K, Gehäuse schwarz"</f>
        <v>BWS, Schienenstrahler, CoB LED, 26W, 15°, 3000K, Gehäuse schwarz</v>
      </c>
      <c r="C168" t="str">
        <f t="shared" si="5"/>
        <v>15</v>
      </c>
      <c r="D168" s="1">
        <v>137.5</v>
      </c>
    </row>
    <row r="169" spans="1:4" x14ac:dyDescent="0.25">
      <c r="A169" t="str">
        <f>"BWS-30WW12/1"</f>
        <v>BWS-30WW12/1</v>
      </c>
      <c r="B169" t="str">
        <f>"BWS, Schienenstrahler, CoB LED, 26W, 24°, 3000K, Gehäuse schwarz/weiss"</f>
        <v>BWS, Schienenstrahler, CoB LED, 26W, 24°, 3000K, Gehäuse schwarz/weiss</v>
      </c>
      <c r="C169" t="str">
        <f t="shared" si="5"/>
        <v>15</v>
      </c>
      <c r="D169" s="1">
        <v>137.5</v>
      </c>
    </row>
    <row r="170" spans="1:4" x14ac:dyDescent="0.25">
      <c r="A170" t="str">
        <f>"BWS-30WW12/1F"</f>
        <v>BWS-30WW12/1F</v>
      </c>
      <c r="B170" t="str">
        <f>"BWS, Schienenstrahler, CoB LED, 26W, 40°, 3000K, Gehäuse schwarz/weiss"</f>
        <v>BWS, Schienenstrahler, CoB LED, 26W, 40°, 3000K, Gehäuse schwarz/weiss</v>
      </c>
      <c r="C170" t="str">
        <f t="shared" si="5"/>
        <v>15</v>
      </c>
      <c r="D170" s="1">
        <v>137.5</v>
      </c>
    </row>
    <row r="171" spans="1:4" x14ac:dyDescent="0.25">
      <c r="A171" t="str">
        <f>"BWS-30WW12/1S"</f>
        <v>BWS-30WW12/1S</v>
      </c>
      <c r="B171" t="str">
        <f>"BWS, Schienenstrahler, CoB LED, 26W, 15°, 3000K, Gehäuse schwarz/weiß"</f>
        <v>BWS, Schienenstrahler, CoB LED, 26W, 15°, 3000K, Gehäuse schwarz/weiß</v>
      </c>
      <c r="C171" t="str">
        <f t="shared" si="5"/>
        <v>15</v>
      </c>
      <c r="D171" s="1">
        <v>137.5</v>
      </c>
    </row>
    <row r="172" spans="1:4" x14ac:dyDescent="0.25">
      <c r="A172" t="str">
        <f>"BWS-30WW12/1-60"</f>
        <v>BWS-30WW12/1-60</v>
      </c>
      <c r="B172" t="str">
        <f>"BWS, Schienenstrahler, CoB LED, 26W, 60°, 3000K, Gehäuse schwarz/weiss"</f>
        <v>BWS, Schienenstrahler, CoB LED, 26W, 60°, 3000K, Gehäuse schwarz/weiss</v>
      </c>
      <c r="C172" t="str">
        <f t="shared" si="5"/>
        <v>15</v>
      </c>
      <c r="D172" s="1">
        <v>137.5</v>
      </c>
    </row>
    <row r="173" spans="1:4" x14ac:dyDescent="0.25">
      <c r="A173" t="str">
        <f>"BWS-30WW12-60"</f>
        <v>BWS-30WW12-60</v>
      </c>
      <c r="B173" t="str">
        <f>"BWS, Schienenstrahler, CoB LED, 26W, 60°, 3000K, Gehäuse schwarz"</f>
        <v>BWS, Schienenstrahler, CoB LED, 26W, 60°, 3000K, Gehäuse schwarz</v>
      </c>
      <c r="C173" t="str">
        <f t="shared" si="5"/>
        <v>15</v>
      </c>
      <c r="D173" s="1">
        <v>137.5</v>
      </c>
    </row>
    <row r="174" spans="1:4" x14ac:dyDescent="0.25">
      <c r="A174" t="str">
        <f>"BWS-40NW11-1"</f>
        <v>BWS-40NW11-1</v>
      </c>
      <c r="B174" t="str">
        <f>"BWS, Schienenstrahler, CoB LED, 40W, 24°, 4000K, Gehäuse weiß"</f>
        <v>BWS, Schienenstrahler, CoB LED, 40W, 24°, 4000K, Gehäuse weiß</v>
      </c>
      <c r="C174" t="str">
        <f t="shared" ref="C174:C221" si="6">"17"</f>
        <v>17</v>
      </c>
      <c r="D174" s="1">
        <v>160</v>
      </c>
    </row>
    <row r="175" spans="1:4" x14ac:dyDescent="0.25">
      <c r="A175" t="str">
        <f>"BWS-40NW11-1F"</f>
        <v>BWS-40NW11-1F</v>
      </c>
      <c r="B175" t="str">
        <f>"BWS, Schienenstrahler, CoB LED, 40W, 40°, 4000K, Gehäuse weiß"</f>
        <v>BWS, Schienenstrahler, CoB LED, 40W, 40°, 4000K, Gehäuse weiß</v>
      </c>
      <c r="C175" t="str">
        <f t="shared" si="6"/>
        <v>17</v>
      </c>
      <c r="D175" s="1">
        <v>160</v>
      </c>
    </row>
    <row r="176" spans="1:4" x14ac:dyDescent="0.25">
      <c r="A176" t="str">
        <f>"BWS-40NW11-1S"</f>
        <v>BWS-40NW11-1S</v>
      </c>
      <c r="B176" t="str">
        <f>"BWS, Schienenstrahler, CoB LED, 40W, 15°, 4000K, Gehäuse weiß"</f>
        <v>BWS, Schienenstrahler, CoB LED, 40W, 15°, 4000K, Gehäuse weiß</v>
      </c>
      <c r="C176" t="str">
        <f t="shared" si="6"/>
        <v>17</v>
      </c>
      <c r="D176" s="1">
        <v>160</v>
      </c>
    </row>
    <row r="177" spans="1:4" x14ac:dyDescent="0.25">
      <c r="A177" t="str">
        <f>"BWS-40NW11-1-60"</f>
        <v>BWS-40NW11-1-60</v>
      </c>
      <c r="B177" t="str">
        <f>"BWS, Schienenstrahler, CoB LED, 40W, 60°, 4000K, Gehäuse weiß"</f>
        <v>BWS, Schienenstrahler, CoB LED, 40W, 60°, 4000K, Gehäuse weiß</v>
      </c>
      <c r="C177" t="str">
        <f t="shared" si="6"/>
        <v>17</v>
      </c>
      <c r="D177" s="1">
        <v>160</v>
      </c>
    </row>
    <row r="178" spans="1:4" x14ac:dyDescent="0.25">
      <c r="A178" t="str">
        <f>"BWS-40NW12"</f>
        <v>BWS-40NW12</v>
      </c>
      <c r="B178" t="str">
        <f>"BWS, Schienenstrahler, CoB LED, 40W, 24°, 4000K, Gehäuse schwarz"</f>
        <v>BWS, Schienenstrahler, CoB LED, 40W, 24°, 4000K, Gehäuse schwarz</v>
      </c>
      <c r="C178" t="str">
        <f t="shared" si="6"/>
        <v>17</v>
      </c>
      <c r="D178" s="1">
        <v>160</v>
      </c>
    </row>
    <row r="179" spans="1:4" x14ac:dyDescent="0.25">
      <c r="A179" t="str">
        <f>"BWS-40NW12F"</f>
        <v>BWS-40NW12F</v>
      </c>
      <c r="B179" t="str">
        <f>"BWS, Schienenstrahler, CoB LED, 40W, 40°, 4000K, Gehäuse schwarz"</f>
        <v>BWS, Schienenstrahler, CoB LED, 40W, 40°, 4000K, Gehäuse schwarz</v>
      </c>
      <c r="C179" t="str">
        <f t="shared" si="6"/>
        <v>17</v>
      </c>
      <c r="D179" s="1">
        <v>160</v>
      </c>
    </row>
    <row r="180" spans="1:4" x14ac:dyDescent="0.25">
      <c r="A180" t="str">
        <f>"BWS-40NW12S"</f>
        <v>BWS-40NW12S</v>
      </c>
      <c r="B180" t="str">
        <f>"BWS, Schienenstrahler, CoB LED, 40W, 15°, 4000K, Gehäuse schwarz"</f>
        <v>BWS, Schienenstrahler, CoB LED, 40W, 15°, 4000K, Gehäuse schwarz</v>
      </c>
      <c r="C180" t="str">
        <f t="shared" si="6"/>
        <v>17</v>
      </c>
      <c r="D180" s="1">
        <v>160</v>
      </c>
    </row>
    <row r="181" spans="1:4" x14ac:dyDescent="0.25">
      <c r="A181" t="str">
        <f>"BWS-40NW12/1"</f>
        <v>BWS-40NW12/1</v>
      </c>
      <c r="B181" t="str">
        <f>"BWS, Schienenstrahler, CoB LED, 40W, 24°, 4000K, Gehäuse schwarz/weiß"</f>
        <v>BWS, Schienenstrahler, CoB LED, 40W, 24°, 4000K, Gehäuse schwarz/weiß</v>
      </c>
      <c r="C181" t="str">
        <f t="shared" si="6"/>
        <v>17</v>
      </c>
      <c r="D181" s="1">
        <v>160</v>
      </c>
    </row>
    <row r="182" spans="1:4" x14ac:dyDescent="0.25">
      <c r="A182" t="str">
        <f>"BWS-40NW12/1F"</f>
        <v>BWS-40NW12/1F</v>
      </c>
      <c r="B182" t="str">
        <f>"BWS, Schienenstrahler, CoB LED, 40W, 40°, 4000K, Gehäuse schwarz/weiß"</f>
        <v>BWS, Schienenstrahler, CoB LED, 40W, 40°, 4000K, Gehäuse schwarz/weiß</v>
      </c>
      <c r="C182" t="str">
        <f t="shared" si="6"/>
        <v>17</v>
      </c>
      <c r="D182" s="1">
        <v>160</v>
      </c>
    </row>
    <row r="183" spans="1:4" x14ac:dyDescent="0.25">
      <c r="A183" t="str">
        <f>"BWS-40NW12/1S"</f>
        <v>BWS-40NW12/1S</v>
      </c>
      <c r="B183" t="str">
        <f>"BWS, Schienenstrahler, CoB LED, 40W, 15°, 4000K, Gehäuse schwarz/weiß"</f>
        <v>BWS, Schienenstrahler, CoB LED, 40W, 15°, 4000K, Gehäuse schwarz/weiß</v>
      </c>
      <c r="C183" t="str">
        <f t="shared" si="6"/>
        <v>17</v>
      </c>
      <c r="D183" s="1">
        <v>160</v>
      </c>
    </row>
    <row r="184" spans="1:4" x14ac:dyDescent="0.25">
      <c r="A184" t="str">
        <f>"BWS-40NW12/1-60"</f>
        <v>BWS-40NW12/1-60</v>
      </c>
      <c r="B184" t="str">
        <f>"BWS, Schienenstrahler, CoB LED, 40W, 60°, 4000K, Gehäuse schwarz/weiß"</f>
        <v>BWS, Schienenstrahler, CoB LED, 40W, 60°, 4000K, Gehäuse schwarz/weiß</v>
      </c>
      <c r="C184" t="str">
        <f t="shared" si="6"/>
        <v>17</v>
      </c>
      <c r="D184" s="1">
        <v>160</v>
      </c>
    </row>
    <row r="185" spans="1:4" x14ac:dyDescent="0.25">
      <c r="A185" t="str">
        <f>"BWS-40NW12-60"</f>
        <v>BWS-40NW12-60</v>
      </c>
      <c r="B185" t="str">
        <f>"BWS, Schienenstrahler, CoB LED, 40W, 60°, 4000K, Gehäuse schwarz"</f>
        <v>BWS, Schienenstrahler, CoB LED, 40W, 60°, 4000K, Gehäuse schwarz</v>
      </c>
      <c r="C185" t="str">
        <f t="shared" si="6"/>
        <v>17</v>
      </c>
      <c r="D185" s="1">
        <v>160</v>
      </c>
    </row>
    <row r="186" spans="1:4" x14ac:dyDescent="0.25">
      <c r="A186" t="str">
        <f>"BWS-40SW11-1"</f>
        <v>BWS-40SW11-1</v>
      </c>
      <c r="B186" t="str">
        <f>"BWS, Schienenstrahler, CoB LED, 40W, 24°, 2700K, Gehäuse weiß"</f>
        <v>BWS, Schienenstrahler, CoB LED, 40W, 24°, 2700K, Gehäuse weiß</v>
      </c>
      <c r="C186" t="str">
        <f t="shared" si="6"/>
        <v>17</v>
      </c>
      <c r="D186" s="1">
        <v>160</v>
      </c>
    </row>
    <row r="187" spans="1:4" x14ac:dyDescent="0.25">
      <c r="A187" t="str">
        <f>"BWS-40SW11-1F"</f>
        <v>BWS-40SW11-1F</v>
      </c>
      <c r="B187" t="str">
        <f>"BWS, Schienenstrahler, CoB LED, 40W, 40°, 2700K, Gehäuse weiß"</f>
        <v>BWS, Schienenstrahler, CoB LED, 40W, 40°, 2700K, Gehäuse weiß</v>
      </c>
      <c r="C187" t="str">
        <f t="shared" si="6"/>
        <v>17</v>
      </c>
      <c r="D187" s="1">
        <v>160</v>
      </c>
    </row>
    <row r="188" spans="1:4" x14ac:dyDescent="0.25">
      <c r="A188" t="str">
        <f>"BWS-40SW11-1S"</f>
        <v>BWS-40SW11-1S</v>
      </c>
      <c r="B188" t="str">
        <f>"BWS, Schienenstrahler, CoB LED, 40W, 15°, 2700K, Gehäuse weiß"</f>
        <v>BWS, Schienenstrahler, CoB LED, 40W, 15°, 2700K, Gehäuse weiß</v>
      </c>
      <c r="C188" t="str">
        <f t="shared" si="6"/>
        <v>17</v>
      </c>
      <c r="D188" s="1">
        <v>160</v>
      </c>
    </row>
    <row r="189" spans="1:4" x14ac:dyDescent="0.25">
      <c r="A189" t="str">
        <f>"BWS-40SW11-1-60"</f>
        <v>BWS-40SW11-1-60</v>
      </c>
      <c r="B189" t="str">
        <f>"BWS, Schienenstrahler, CoB LED, 40W, 60°, 2700K, Gehäuse weiß"</f>
        <v>BWS, Schienenstrahler, CoB LED, 40W, 60°, 2700K, Gehäuse weiß</v>
      </c>
      <c r="C189" t="str">
        <f t="shared" si="6"/>
        <v>17</v>
      </c>
      <c r="D189" s="1">
        <v>160</v>
      </c>
    </row>
    <row r="190" spans="1:4" x14ac:dyDescent="0.25">
      <c r="A190" t="str">
        <f>"BWS-40SW12"</f>
        <v>BWS-40SW12</v>
      </c>
      <c r="B190" t="str">
        <f>"BWS, Schienenstrahler, CoB LED, 40W, 24°, 2700K, Gehäuse schwarz"</f>
        <v>BWS, Schienenstrahler, CoB LED, 40W, 24°, 2700K, Gehäuse schwarz</v>
      </c>
      <c r="C190" t="str">
        <f t="shared" si="6"/>
        <v>17</v>
      </c>
      <c r="D190" s="1">
        <v>160</v>
      </c>
    </row>
    <row r="191" spans="1:4" x14ac:dyDescent="0.25">
      <c r="A191" t="str">
        <f>"BWS-40SW12F"</f>
        <v>BWS-40SW12F</v>
      </c>
      <c r="B191" t="str">
        <f>"BWS, Schienenstrahler, CoB LED, 40W, 40°, 2700K, Gehäuse schwarz"</f>
        <v>BWS, Schienenstrahler, CoB LED, 40W, 40°, 2700K, Gehäuse schwarz</v>
      </c>
      <c r="C191" t="str">
        <f t="shared" si="6"/>
        <v>17</v>
      </c>
      <c r="D191" s="1">
        <v>160</v>
      </c>
    </row>
    <row r="192" spans="1:4" x14ac:dyDescent="0.25">
      <c r="A192" t="str">
        <f>"BWS-40SW12S"</f>
        <v>BWS-40SW12S</v>
      </c>
      <c r="B192" t="str">
        <f>"BWS, Schienenstrahler, CoB LED, 40W, 15°, 2700K, Gehäuse schwarz"</f>
        <v>BWS, Schienenstrahler, CoB LED, 40W, 15°, 2700K, Gehäuse schwarz</v>
      </c>
      <c r="C192" t="str">
        <f t="shared" si="6"/>
        <v>17</v>
      </c>
      <c r="D192" s="1">
        <v>160</v>
      </c>
    </row>
    <row r="193" spans="1:4" x14ac:dyDescent="0.25">
      <c r="A193" t="str">
        <f>"BWS-40SW12/1"</f>
        <v>BWS-40SW12/1</v>
      </c>
      <c r="B193" t="str">
        <f>"BWS, Schienenstrahler, CoB LED, 40W, 24°, 2700K, Gehäuse schwarz/weiß"</f>
        <v>BWS, Schienenstrahler, CoB LED, 40W, 24°, 2700K, Gehäuse schwarz/weiß</v>
      </c>
      <c r="C193" t="str">
        <f t="shared" si="6"/>
        <v>17</v>
      </c>
      <c r="D193" s="1">
        <v>160</v>
      </c>
    </row>
    <row r="194" spans="1:4" x14ac:dyDescent="0.25">
      <c r="A194" t="str">
        <f>"BWS-40SW12/1F"</f>
        <v>BWS-40SW12/1F</v>
      </c>
      <c r="B194" t="str">
        <f>"BWS, Schienenstrahler, CoB LED, 40W, 40°, 2700K, Gehäuse schwarz/weiß"</f>
        <v>BWS, Schienenstrahler, CoB LED, 40W, 40°, 2700K, Gehäuse schwarz/weiß</v>
      </c>
      <c r="C194" t="str">
        <f t="shared" si="6"/>
        <v>17</v>
      </c>
      <c r="D194" s="1">
        <v>160</v>
      </c>
    </row>
    <row r="195" spans="1:4" x14ac:dyDescent="0.25">
      <c r="A195" t="str">
        <f>"BWS-40SW12/1S"</f>
        <v>BWS-40SW12/1S</v>
      </c>
      <c r="B195" t="str">
        <f>"BWS, Schienenstrahler, CoB LED, 40W, 15°, 2700K, Gehäuse schwarz/weiß"</f>
        <v>BWS, Schienenstrahler, CoB LED, 40W, 15°, 2700K, Gehäuse schwarz/weiß</v>
      </c>
      <c r="C195" t="str">
        <f t="shared" si="6"/>
        <v>17</v>
      </c>
      <c r="D195" s="1">
        <v>160</v>
      </c>
    </row>
    <row r="196" spans="1:4" x14ac:dyDescent="0.25">
      <c r="A196" t="str">
        <f>"BWS-40SW12/1-60"</f>
        <v>BWS-40SW12/1-60</v>
      </c>
      <c r="B196" t="str">
        <f>"BWS, Schienenstrahler, CoB LED, 40W, 60°, 2700K, Gehäuse schwarz/weiß"</f>
        <v>BWS, Schienenstrahler, CoB LED, 40W, 60°, 2700K, Gehäuse schwarz/weiß</v>
      </c>
      <c r="C196" t="str">
        <f t="shared" si="6"/>
        <v>17</v>
      </c>
      <c r="D196" s="1">
        <v>160</v>
      </c>
    </row>
    <row r="197" spans="1:4" x14ac:dyDescent="0.25">
      <c r="A197" t="str">
        <f>"BWS-40SW12-60"</f>
        <v>BWS-40SW12-60</v>
      </c>
      <c r="B197" t="str">
        <f>"BWS, Schienenstrahler, CoB LED, 40W, 60°, 2700K, Gehäuse schwarz"</f>
        <v>BWS, Schienenstrahler, CoB LED, 40W, 60°, 2700K, Gehäuse schwarz</v>
      </c>
      <c r="C197" t="str">
        <f t="shared" si="6"/>
        <v>17</v>
      </c>
      <c r="D197" s="1">
        <v>160</v>
      </c>
    </row>
    <row r="198" spans="1:4" x14ac:dyDescent="0.25">
      <c r="A198" t="str">
        <f>"BWS-40WNW11-1"</f>
        <v>BWS-40WNW11-1</v>
      </c>
      <c r="B198" t="str">
        <f>"BWS, Schienenstrahler, CoB LED, 40W, 24°, 3500K, Gehäuse weiß"</f>
        <v>BWS, Schienenstrahler, CoB LED, 40W, 24°, 3500K, Gehäuse weiß</v>
      </c>
      <c r="C198" t="str">
        <f t="shared" si="6"/>
        <v>17</v>
      </c>
      <c r="D198" s="1">
        <v>160</v>
      </c>
    </row>
    <row r="199" spans="1:4" x14ac:dyDescent="0.25">
      <c r="A199" t="str">
        <f>"BWS-40WNW11-1F"</f>
        <v>BWS-40WNW11-1F</v>
      </c>
      <c r="B199" t="str">
        <f>"BWS, Schienenstrahler, CoB LED, 40W, 40°, 3500K, Gehäuse weiß"</f>
        <v>BWS, Schienenstrahler, CoB LED, 40W, 40°, 3500K, Gehäuse weiß</v>
      </c>
      <c r="C199" t="str">
        <f t="shared" si="6"/>
        <v>17</v>
      </c>
      <c r="D199" s="1">
        <v>160</v>
      </c>
    </row>
    <row r="200" spans="1:4" x14ac:dyDescent="0.25">
      <c r="A200" t="str">
        <f>"BWS-40WNW11-1S"</f>
        <v>BWS-40WNW11-1S</v>
      </c>
      <c r="B200" t="str">
        <f>"BWS, Schienenstrahler, CoB LED, 40W, 15°, 3500K, Gehäuse weiß"</f>
        <v>BWS, Schienenstrahler, CoB LED, 40W, 15°, 3500K, Gehäuse weiß</v>
      </c>
      <c r="C200" t="str">
        <f t="shared" si="6"/>
        <v>17</v>
      </c>
      <c r="D200" s="1">
        <v>160</v>
      </c>
    </row>
    <row r="201" spans="1:4" x14ac:dyDescent="0.25">
      <c r="A201" t="str">
        <f>"BWS-40WNW11-1-60"</f>
        <v>BWS-40WNW11-1-60</v>
      </c>
      <c r="B201" t="str">
        <f>"BWS, Schienenstrahler, CoB LED, 40W, 60°, 3500K, Gehäuse weiß"</f>
        <v>BWS, Schienenstrahler, CoB LED, 40W, 60°, 3500K, Gehäuse weiß</v>
      </c>
      <c r="C201" t="str">
        <f t="shared" si="6"/>
        <v>17</v>
      </c>
      <c r="D201" s="1">
        <v>160</v>
      </c>
    </row>
    <row r="202" spans="1:4" x14ac:dyDescent="0.25">
      <c r="A202" t="str">
        <f>"BWS-40WNW12"</f>
        <v>BWS-40WNW12</v>
      </c>
      <c r="B202" t="str">
        <f>"BWS, Schienenstrahler, CoB LED, 40W, 24°, 3500K, Gehäuse schwarz"</f>
        <v>BWS, Schienenstrahler, CoB LED, 40W, 24°, 3500K, Gehäuse schwarz</v>
      </c>
      <c r="C202" t="str">
        <f t="shared" si="6"/>
        <v>17</v>
      </c>
      <c r="D202" s="1">
        <v>160</v>
      </c>
    </row>
    <row r="203" spans="1:4" x14ac:dyDescent="0.25">
      <c r="A203" t="str">
        <f>"BWS-40WNW12F"</f>
        <v>BWS-40WNW12F</v>
      </c>
      <c r="B203" t="str">
        <f>"BWS, Schienenstrahler, CoB LED, 40W, 40°, 3500K, Gehäuse schwarz"</f>
        <v>BWS, Schienenstrahler, CoB LED, 40W, 40°, 3500K, Gehäuse schwarz</v>
      </c>
      <c r="C203" t="str">
        <f t="shared" si="6"/>
        <v>17</v>
      </c>
      <c r="D203" s="1">
        <v>160</v>
      </c>
    </row>
    <row r="204" spans="1:4" x14ac:dyDescent="0.25">
      <c r="A204" t="str">
        <f>"BWS-40WNW12S"</f>
        <v>BWS-40WNW12S</v>
      </c>
      <c r="B204" t="str">
        <f>"BWS, Schienenstrahler, CoB LED, 40W, 15°, 3500K, Gehäuse schwarz"</f>
        <v>BWS, Schienenstrahler, CoB LED, 40W, 15°, 3500K, Gehäuse schwarz</v>
      </c>
      <c r="C204" t="str">
        <f t="shared" si="6"/>
        <v>17</v>
      </c>
      <c r="D204" s="1">
        <v>160</v>
      </c>
    </row>
    <row r="205" spans="1:4" x14ac:dyDescent="0.25">
      <c r="A205" t="str">
        <f>"BWS-40WNW12/1"</f>
        <v>BWS-40WNW12/1</v>
      </c>
      <c r="B205" t="str">
        <f>"BWS, Schienenstrahler, CoB LED, 40W, 24°, 3500K, Gehäuse schwarz/weiß"</f>
        <v>BWS, Schienenstrahler, CoB LED, 40W, 24°, 3500K, Gehäuse schwarz/weiß</v>
      </c>
      <c r="C205" t="str">
        <f t="shared" si="6"/>
        <v>17</v>
      </c>
      <c r="D205" s="1">
        <v>160</v>
      </c>
    </row>
    <row r="206" spans="1:4" x14ac:dyDescent="0.25">
      <c r="A206" t="str">
        <f>"BWS-40WNW12/1F"</f>
        <v>BWS-40WNW12/1F</v>
      </c>
      <c r="B206" t="str">
        <f>"BWS, Schienenstrahler, CoB LED, 40W, 40°, 3500K, Gehäuse schwarz/weiß"</f>
        <v>BWS, Schienenstrahler, CoB LED, 40W, 40°, 3500K, Gehäuse schwarz/weiß</v>
      </c>
      <c r="C206" t="str">
        <f t="shared" si="6"/>
        <v>17</v>
      </c>
      <c r="D206" s="1">
        <v>160</v>
      </c>
    </row>
    <row r="207" spans="1:4" x14ac:dyDescent="0.25">
      <c r="A207" t="str">
        <f>"BWS-40WNW12/1S"</f>
        <v>BWS-40WNW12/1S</v>
      </c>
      <c r="B207" t="str">
        <f>"BWS, Schienenstrahler, CoB LED, 40W, 15°, 3500K, Gehäuse schwarz/weiß"</f>
        <v>BWS, Schienenstrahler, CoB LED, 40W, 15°, 3500K, Gehäuse schwarz/weiß</v>
      </c>
      <c r="C207" t="str">
        <f t="shared" si="6"/>
        <v>17</v>
      </c>
      <c r="D207" s="1">
        <v>160</v>
      </c>
    </row>
    <row r="208" spans="1:4" x14ac:dyDescent="0.25">
      <c r="A208" t="str">
        <f>"BWS-40WNW12/1-60"</f>
        <v>BWS-40WNW12/1-60</v>
      </c>
      <c r="B208" t="str">
        <f>"BWS, Schienenstrahler, CoB LED, 40W, 60°, 3500K, Gehäuse schwarz/weiß"</f>
        <v>BWS, Schienenstrahler, CoB LED, 40W, 60°, 3500K, Gehäuse schwarz/weiß</v>
      </c>
      <c r="C208" t="str">
        <f t="shared" si="6"/>
        <v>17</v>
      </c>
      <c r="D208" s="1">
        <v>160</v>
      </c>
    </row>
    <row r="209" spans="1:4" x14ac:dyDescent="0.25">
      <c r="A209" t="str">
        <f>"BWS-40WNW12-60"</f>
        <v>BWS-40WNW12-60</v>
      </c>
      <c r="B209" t="str">
        <f>"BWS, Schienenstrahler, CoB LED, 40W, 60°, 3500K, Gehäuse schwarz"</f>
        <v>BWS, Schienenstrahler, CoB LED, 40W, 60°, 3500K, Gehäuse schwarz</v>
      </c>
      <c r="C209" t="str">
        <f t="shared" si="6"/>
        <v>17</v>
      </c>
      <c r="D209" s="1">
        <v>160</v>
      </c>
    </row>
    <row r="210" spans="1:4" x14ac:dyDescent="0.25">
      <c r="A210" t="str">
        <f>"BWS-40WW11-1"</f>
        <v>BWS-40WW11-1</v>
      </c>
      <c r="B210" t="str">
        <f>"BWS, Schienenstrahler, CoB LED, 40W, 24°, 3000K, Gehäuse weiß"</f>
        <v>BWS, Schienenstrahler, CoB LED, 40W, 24°, 3000K, Gehäuse weiß</v>
      </c>
      <c r="C210" t="str">
        <f t="shared" si="6"/>
        <v>17</v>
      </c>
      <c r="D210" s="1">
        <v>160</v>
      </c>
    </row>
    <row r="211" spans="1:4" x14ac:dyDescent="0.25">
      <c r="A211" t="str">
        <f>"BWS-40WW11-1F"</f>
        <v>BWS-40WW11-1F</v>
      </c>
      <c r="B211" t="str">
        <f>"BWS, Schienenstrahler, CoB LED, 40W, 40°, 3000K, Gehäuse weiß"</f>
        <v>BWS, Schienenstrahler, CoB LED, 40W, 40°, 3000K, Gehäuse weiß</v>
      </c>
      <c r="C211" t="str">
        <f t="shared" si="6"/>
        <v>17</v>
      </c>
      <c r="D211" s="1">
        <v>160</v>
      </c>
    </row>
    <row r="212" spans="1:4" x14ac:dyDescent="0.25">
      <c r="A212" t="str">
        <f>"BWS-40WW11-1S"</f>
        <v>BWS-40WW11-1S</v>
      </c>
      <c r="B212" t="str">
        <f>"BWS, Schienenstrahler, CoB LED, 40W, 15°, 3000K, Gehäuse weiß"</f>
        <v>BWS, Schienenstrahler, CoB LED, 40W, 15°, 3000K, Gehäuse weiß</v>
      </c>
      <c r="C212" t="str">
        <f t="shared" si="6"/>
        <v>17</v>
      </c>
      <c r="D212" s="1">
        <v>160</v>
      </c>
    </row>
    <row r="213" spans="1:4" x14ac:dyDescent="0.25">
      <c r="A213" t="str">
        <f>"BWS-40WW11-1-60"</f>
        <v>BWS-40WW11-1-60</v>
      </c>
      <c r="B213" t="str">
        <f>"BWS, Schienenstrahler, CoB LED, 40W, 60°, 3000K, Gehäuse weiß"</f>
        <v>BWS, Schienenstrahler, CoB LED, 40W, 60°, 3000K, Gehäuse weiß</v>
      </c>
      <c r="C213" t="str">
        <f t="shared" si="6"/>
        <v>17</v>
      </c>
      <c r="D213" s="1">
        <v>160</v>
      </c>
    </row>
    <row r="214" spans="1:4" x14ac:dyDescent="0.25">
      <c r="A214" t="str">
        <f>"BWS-40WW12"</f>
        <v>BWS-40WW12</v>
      </c>
      <c r="B214" t="str">
        <f>"BWS, Schienenstrahler, CoB LED, 40W, 24°, 3000K, Gehäuse schwarz"</f>
        <v>BWS, Schienenstrahler, CoB LED, 40W, 24°, 3000K, Gehäuse schwarz</v>
      </c>
      <c r="C214" t="str">
        <f t="shared" si="6"/>
        <v>17</v>
      </c>
      <c r="D214" s="1">
        <v>160</v>
      </c>
    </row>
    <row r="215" spans="1:4" x14ac:dyDescent="0.25">
      <c r="A215" t="str">
        <f>"BWS-40WW12F"</f>
        <v>BWS-40WW12F</v>
      </c>
      <c r="B215" t="str">
        <f>"BWS, Schienenstrahler, CoB LED, 40W, 40°, 3000K, Gehäuse schwarz"</f>
        <v>BWS, Schienenstrahler, CoB LED, 40W, 40°, 3000K, Gehäuse schwarz</v>
      </c>
      <c r="C215" t="str">
        <f t="shared" si="6"/>
        <v>17</v>
      </c>
      <c r="D215" s="1">
        <v>160</v>
      </c>
    </row>
    <row r="216" spans="1:4" x14ac:dyDescent="0.25">
      <c r="A216" t="str">
        <f>"BWS-40WW12S"</f>
        <v>BWS-40WW12S</v>
      </c>
      <c r="B216" t="str">
        <f>"BWS, Schienenstrahler, CoB LED, 40W, 15°, 3000K, Gehäuse schwarz"</f>
        <v>BWS, Schienenstrahler, CoB LED, 40W, 15°, 3000K, Gehäuse schwarz</v>
      </c>
      <c r="C216" t="str">
        <f t="shared" si="6"/>
        <v>17</v>
      </c>
      <c r="D216" s="1">
        <v>160</v>
      </c>
    </row>
    <row r="217" spans="1:4" x14ac:dyDescent="0.25">
      <c r="A217" t="str">
        <f>"BWS-40WW12/1"</f>
        <v>BWS-40WW12/1</v>
      </c>
      <c r="B217" t="str">
        <f>"BWS, Schienenstrahler, CoB LED, 40W, 24°, 3000K, Gehäuse schwarz/weiß"</f>
        <v>BWS, Schienenstrahler, CoB LED, 40W, 24°, 3000K, Gehäuse schwarz/weiß</v>
      </c>
      <c r="C217" t="str">
        <f t="shared" si="6"/>
        <v>17</v>
      </c>
      <c r="D217" s="1">
        <v>160</v>
      </c>
    </row>
    <row r="218" spans="1:4" x14ac:dyDescent="0.25">
      <c r="A218" t="str">
        <f>"BWS-40WW12/1F"</f>
        <v>BWS-40WW12/1F</v>
      </c>
      <c r="B218" t="str">
        <f>"BWS, Schienenstrahler, CoB LED, 40W, 40°, 3000K, Gehäuse schwarz/weiß"</f>
        <v>BWS, Schienenstrahler, CoB LED, 40W, 40°, 3000K, Gehäuse schwarz/weiß</v>
      </c>
      <c r="C218" t="str">
        <f t="shared" si="6"/>
        <v>17</v>
      </c>
      <c r="D218" s="1">
        <v>160</v>
      </c>
    </row>
    <row r="219" spans="1:4" x14ac:dyDescent="0.25">
      <c r="A219" t="str">
        <f>"BWS-40WW12/1S"</f>
        <v>BWS-40WW12/1S</v>
      </c>
      <c r="B219" t="str">
        <f>"BWS, Schienenstrahler, CoB LED,40W, 15°, 3000K, Gehäuse schwarz/weiß"</f>
        <v>BWS, Schienenstrahler, CoB LED,40W, 15°, 3000K, Gehäuse schwarz/weiß</v>
      </c>
      <c r="C219" t="str">
        <f t="shared" si="6"/>
        <v>17</v>
      </c>
      <c r="D219" s="1">
        <v>160</v>
      </c>
    </row>
    <row r="220" spans="1:4" x14ac:dyDescent="0.25">
      <c r="A220" t="str">
        <f>"BWS-40WW12/1-60"</f>
        <v>BWS-40WW12/1-60</v>
      </c>
      <c r="B220" t="str">
        <f>"BWS, Schienenstrahler, CoB LED,40W, 60°, 3000K, Gehäuse schwarz/weiß"</f>
        <v>BWS, Schienenstrahler, CoB LED,40W, 60°, 3000K, Gehäuse schwarz/weiß</v>
      </c>
      <c r="C220" t="str">
        <f t="shared" si="6"/>
        <v>17</v>
      </c>
      <c r="D220" s="1">
        <v>160</v>
      </c>
    </row>
    <row r="221" spans="1:4" x14ac:dyDescent="0.25">
      <c r="A221" t="str">
        <f>"BWS-40WW12-60"</f>
        <v>BWS-40WW12-60</v>
      </c>
      <c r="B221" t="str">
        <f>"BWS, Schienenstrahler, CoB LED, 40W, 60°, 3000K, Gehäuse schwarz"</f>
        <v>BWS, Schienenstrahler, CoB LED, 40W, 60°, 3000K, Gehäuse schwarz</v>
      </c>
      <c r="C221" t="str">
        <f t="shared" si="6"/>
        <v>17</v>
      </c>
      <c r="D221" s="1">
        <v>160</v>
      </c>
    </row>
    <row r="222" spans="1:4" x14ac:dyDescent="0.25">
      <c r="A222" t="str">
        <f>"CAL-END"</f>
        <v>CAL-END</v>
      </c>
      <c r="B222" t="str">
        <f>"Enddeckel zu Einbauprofil CAL LED "</f>
        <v xml:space="preserve">Enddeckel zu Einbauprofil CAL LED </v>
      </c>
      <c r="C222" t="str">
        <f t="shared" ref="C222:C227" si="7">"119"</f>
        <v>119</v>
      </c>
      <c r="D222" s="1">
        <v>9.5</v>
      </c>
    </row>
    <row r="223" spans="1:4" x14ac:dyDescent="0.25">
      <c r="A223" t="str">
        <f>"CAL-EV"</f>
        <v>CAL-EV</v>
      </c>
      <c r="B223" t="str">
        <f>"Eckverbinder Einbauprofil CAL LED"</f>
        <v>Eckverbinder Einbauprofil CAL LED</v>
      </c>
      <c r="C223" t="str">
        <f t="shared" si="7"/>
        <v>119</v>
      </c>
      <c r="D223" s="1">
        <v>4.8</v>
      </c>
    </row>
    <row r="224" spans="1:4" x14ac:dyDescent="0.25">
      <c r="A224" t="str">
        <f>"CAL-LV"</f>
        <v>CAL-LV</v>
      </c>
      <c r="B224" t="str">
        <f>"Längsverbinder Einbauprofil CAL LED"</f>
        <v>Längsverbinder Einbauprofil CAL LED</v>
      </c>
      <c r="C224" t="str">
        <f t="shared" si="7"/>
        <v>119</v>
      </c>
      <c r="D224" s="1">
        <v>4</v>
      </c>
    </row>
    <row r="225" spans="1:4" x14ac:dyDescent="0.25">
      <c r="A225" t="str">
        <f>"CAL-MF"</f>
        <v>CAL-MF</v>
      </c>
      <c r="B225" t="str">
        <f>"Montagefeder Einbauprofil CAL LED "</f>
        <v xml:space="preserve">Montagefeder Einbauprofil CAL LED </v>
      </c>
      <c r="C225" t="str">
        <f t="shared" si="7"/>
        <v>119</v>
      </c>
      <c r="D225" s="1">
        <v>9</v>
      </c>
    </row>
    <row r="226" spans="1:4" x14ac:dyDescent="0.25">
      <c r="A226" t="str">
        <f>"CAL-P-2"</f>
        <v>CAL-P-2</v>
      </c>
      <c r="B226" t="str">
        <f>"Einbauprofil CAL LED, Profil Aluminium eloxiert 2020 mm"</f>
        <v>Einbauprofil CAL LED, Profil Aluminium eloxiert 2020 mm</v>
      </c>
      <c r="C226" t="str">
        <f t="shared" si="7"/>
        <v>119</v>
      </c>
      <c r="D226" s="1">
        <v>65</v>
      </c>
    </row>
    <row r="227" spans="1:4" x14ac:dyDescent="0.25">
      <c r="A227" t="str">
        <f>"CAL-P-5"</f>
        <v>CAL-P-5</v>
      </c>
      <c r="B227" t="str">
        <f>"Einbauprofil CAL LED, Profil Aluminium eloxiert 5020 mm"</f>
        <v>Einbauprofil CAL LED, Profil Aluminium eloxiert 5020 mm</v>
      </c>
      <c r="C227" t="str">
        <f t="shared" si="7"/>
        <v>119</v>
      </c>
      <c r="D227" s="1">
        <v>92</v>
      </c>
    </row>
    <row r="228" spans="1:4" x14ac:dyDescent="0.25">
      <c r="A228" t="str">
        <f>"CAP-A-2K"</f>
        <v>CAP-A-2K</v>
      </c>
      <c r="B228" t="str">
        <f>"CAPLED, Profilabdeckung Kunstoff, klar, rund, 2,02 Meter"</f>
        <v>CAPLED, Profilabdeckung Kunstoff, klar, rund, 2,02 Meter</v>
      </c>
      <c r="C228" t="str">
        <f t="shared" ref="C228:C240" si="8">"115"</f>
        <v>115</v>
      </c>
      <c r="D228" s="1">
        <v>20</v>
      </c>
    </row>
    <row r="229" spans="1:4" x14ac:dyDescent="0.25">
      <c r="A229" t="str">
        <f>"CAP-A-2O"</f>
        <v>CAP-A-2O</v>
      </c>
      <c r="B229" t="str">
        <f>"CAPLED, Profilabdeckung Kunstoff, opal, eckig, 2,02 Meter"</f>
        <v>CAPLED, Profilabdeckung Kunstoff, opal, eckig, 2,02 Meter</v>
      </c>
      <c r="C229" t="str">
        <f t="shared" si="8"/>
        <v>115</v>
      </c>
      <c r="D229" s="1">
        <v>20</v>
      </c>
    </row>
    <row r="230" spans="1:4" x14ac:dyDescent="0.25">
      <c r="A230" t="str">
        <f>"CAP-A-2OR"</f>
        <v>CAP-A-2OR</v>
      </c>
      <c r="B230" t="str">
        <f>"CAPLED, Profilabdeckung Kunstoff, opal, rund, 2,02 Meter"</f>
        <v>CAPLED, Profilabdeckung Kunstoff, opal, rund, 2,02 Meter</v>
      </c>
      <c r="C230" t="str">
        <f t="shared" si="8"/>
        <v>115</v>
      </c>
      <c r="D230" s="1">
        <v>22</v>
      </c>
    </row>
    <row r="231" spans="1:4" x14ac:dyDescent="0.25">
      <c r="A231" t="str">
        <f>"CAP-A-6K"</f>
        <v>CAP-A-6K</v>
      </c>
      <c r="B231" t="str">
        <f>"CAPLED, Profilabdeckung Kunstoff, klar, rund, 6,2m"</f>
        <v>CAPLED, Profilabdeckung Kunstoff, klar, rund, 6,2m</v>
      </c>
      <c r="C231" t="str">
        <f t="shared" si="8"/>
        <v>115</v>
      </c>
      <c r="D231" s="1">
        <v>55</v>
      </c>
    </row>
    <row r="232" spans="1:4" x14ac:dyDescent="0.25">
      <c r="A232" t="str">
        <f>"CAP-A-6O"</f>
        <v>CAP-A-6O</v>
      </c>
      <c r="B232" t="str">
        <f>"CAPLED, Profilabdeckung Kunststoff, opal, eckig 6100mm"</f>
        <v>CAPLED, Profilabdeckung Kunststoff, opal, eckig 6100mm</v>
      </c>
      <c r="C232" t="str">
        <f t="shared" si="8"/>
        <v>115</v>
      </c>
      <c r="D232" s="1">
        <v>75</v>
      </c>
    </row>
    <row r="233" spans="1:4" x14ac:dyDescent="0.25">
      <c r="A233" t="str">
        <f>"CAP-A-6OR"</f>
        <v>CAP-A-6OR</v>
      </c>
      <c r="B233" t="str">
        <f>"CAPLED, Profilabdeckung Kunststoff, opal, rund, 6100mm"</f>
        <v>CAPLED, Profilabdeckung Kunststoff, opal, rund, 6100mm</v>
      </c>
      <c r="C233" t="str">
        <f t="shared" si="8"/>
        <v>115</v>
      </c>
      <c r="D233" s="1">
        <v>75</v>
      </c>
    </row>
    <row r="234" spans="1:4" x14ac:dyDescent="0.25">
      <c r="A234" t="str">
        <f>"CAP-C"</f>
        <v>CAP-C</v>
      </c>
      <c r="B234" t="str">
        <f>"CAPLED, Montageclip zur Deckenbefestigung (1 Stk.)"</f>
        <v>CAPLED, Montageclip zur Deckenbefestigung (1 Stk.)</v>
      </c>
      <c r="C234" t="str">
        <f t="shared" si="8"/>
        <v>115</v>
      </c>
      <c r="D234" s="1">
        <v>1.7</v>
      </c>
    </row>
    <row r="235" spans="1:4" x14ac:dyDescent="0.25">
      <c r="A235" t="str">
        <f>"CAP-EKEO7"</f>
        <v>CAP-EKEO7</v>
      </c>
      <c r="B235" t="str">
        <f>"CAPLED, Endkappe, eckig, mit Kabelöffnung, 1 Stück, alugrau"</f>
        <v>CAPLED, Endkappe, eckig, mit Kabelöffnung, 1 Stück, alugrau</v>
      </c>
      <c r="C235" t="str">
        <f t="shared" si="8"/>
        <v>115</v>
      </c>
      <c r="D235" s="1">
        <v>6</v>
      </c>
    </row>
    <row r="236" spans="1:4" x14ac:dyDescent="0.25">
      <c r="A236" t="str">
        <f>"CAP-EKE7"</f>
        <v>CAP-EKE7</v>
      </c>
      <c r="B236" t="str">
        <f>"CAPLED, Endkappe, eckig, geschlossen, 1 Stück alugrau"</f>
        <v>CAPLED, Endkappe, eckig, geschlossen, 1 Stück alugrau</v>
      </c>
      <c r="C236" t="str">
        <f t="shared" si="8"/>
        <v>115</v>
      </c>
      <c r="D236" s="1">
        <v>6</v>
      </c>
    </row>
    <row r="237" spans="1:4" x14ac:dyDescent="0.25">
      <c r="A237" t="str">
        <f>"CAP-EKRO7"</f>
        <v>CAP-EKRO7</v>
      </c>
      <c r="B237" t="str">
        <f>"CAPLED, Endkappe, rund, mit Kabelöffnung, 1 Stück alugrau"</f>
        <v>CAPLED, Endkappe, rund, mit Kabelöffnung, 1 Stück alugrau</v>
      </c>
      <c r="C237" t="str">
        <f t="shared" si="8"/>
        <v>115</v>
      </c>
      <c r="D237" s="1">
        <v>5</v>
      </c>
    </row>
    <row r="238" spans="1:4" x14ac:dyDescent="0.25">
      <c r="A238" t="str">
        <f>"CAP-EKR7"</f>
        <v>CAP-EKR7</v>
      </c>
      <c r="B238" t="str">
        <f>"CAPLED, Endkappe, rund, geschlossen, 1 Stück alugrau"</f>
        <v>CAPLED, Endkappe, rund, geschlossen, 1 Stück alugrau</v>
      </c>
      <c r="C238" t="str">
        <f t="shared" si="8"/>
        <v>115</v>
      </c>
      <c r="D238" s="1">
        <v>5</v>
      </c>
    </row>
    <row r="239" spans="1:4" x14ac:dyDescent="0.25">
      <c r="A239" t="str">
        <f>"CAP-P-2"</f>
        <v>CAP-P-2</v>
      </c>
      <c r="B239" t="str">
        <f>"CAPLED, U-Profil Aluminium eloxiert 2,02 Meter"</f>
        <v>CAPLED, U-Profil Aluminium eloxiert 2,02 Meter</v>
      </c>
      <c r="C239" t="str">
        <f t="shared" si="8"/>
        <v>115</v>
      </c>
      <c r="D239" s="1">
        <v>20</v>
      </c>
    </row>
    <row r="240" spans="1:4" x14ac:dyDescent="0.25">
      <c r="A240" t="str">
        <f>"CAP-P-6"</f>
        <v>CAP-P-6</v>
      </c>
      <c r="B240" t="str">
        <f>"CAPLED, U-Profil Aluminium eloxiert 6m"</f>
        <v>CAPLED, U-Profil Aluminium eloxiert 6m</v>
      </c>
      <c r="C240" t="str">
        <f t="shared" si="8"/>
        <v>115</v>
      </c>
      <c r="D240" s="1">
        <v>60</v>
      </c>
    </row>
    <row r="241" spans="1:4" x14ac:dyDescent="0.25">
      <c r="A241" t="str">
        <f>"CAS-LCCT"</f>
        <v>CAS-LCCT</v>
      </c>
      <c r="B241" t="str">
        <f>"CASAMBI PWM4 Bluetooth Lichtsteuerung Tunable white "</f>
        <v xml:space="preserve">CASAMBI PWM4 Bluetooth Lichtsteuerung Tunable white </v>
      </c>
      <c r="C241" t="str">
        <f t="shared" ref="C241:C253" si="9">"237"</f>
        <v>237</v>
      </c>
      <c r="D241" s="1">
        <v>139</v>
      </c>
    </row>
    <row r="242" spans="1:4" x14ac:dyDescent="0.25">
      <c r="A242" t="str">
        <f>"CAS-LDD4KA"</f>
        <v>CAS-LDD4KA</v>
      </c>
      <c r="B242" t="str">
        <f>"CASAMBI Bluetooth Lichtsteuerung DALI 1-10V, 4 Kanal, Aufbau"</f>
        <v>CASAMBI Bluetooth Lichtsteuerung DALI 1-10V, 4 Kanal, Aufbau</v>
      </c>
      <c r="C242" t="str">
        <f t="shared" si="9"/>
        <v>237</v>
      </c>
      <c r="D242" s="1">
        <v>120</v>
      </c>
    </row>
    <row r="243" spans="1:4" x14ac:dyDescent="0.25">
      <c r="A243" t="str">
        <f>"CAS-LDD4KE"</f>
        <v>CAS-LDD4KE</v>
      </c>
      <c r="B243" t="str">
        <f>"CASAMBI Bluetooth Lichtsteuerung DALI 1-10V, 4 Kanal, Einbau"</f>
        <v>CASAMBI Bluetooth Lichtsteuerung DALI 1-10V, 4 Kanal, Einbau</v>
      </c>
      <c r="C243" t="str">
        <f t="shared" si="9"/>
        <v>237</v>
      </c>
      <c r="D243" s="1">
        <v>127.5</v>
      </c>
    </row>
    <row r="244" spans="1:4" x14ac:dyDescent="0.25">
      <c r="A244" t="str">
        <f>"CAS-LDIMA"</f>
        <v>CAS-LDIMA</v>
      </c>
      <c r="B244" t="str">
        <f>"CASAMBI Bluetooth Lichtsteuerung dimmbar 1-10V, Aufbau"</f>
        <v>CASAMBI Bluetooth Lichtsteuerung dimmbar 1-10V, Aufbau</v>
      </c>
      <c r="C244" t="str">
        <f t="shared" si="9"/>
        <v>237</v>
      </c>
      <c r="D244" s="1">
        <v>127.5</v>
      </c>
    </row>
    <row r="245" spans="1:4" x14ac:dyDescent="0.25">
      <c r="A245" t="str">
        <f>"CAS-LDIME"</f>
        <v>CAS-LDIME</v>
      </c>
      <c r="B245" t="str">
        <f>"CASAMBI Bluetooth Lichtsteuerung dimmbar 1-10V, Einbau"</f>
        <v>CASAMBI Bluetooth Lichtsteuerung dimmbar 1-10V, Einbau</v>
      </c>
      <c r="C245" t="str">
        <f t="shared" si="9"/>
        <v>237</v>
      </c>
      <c r="D245" s="1">
        <v>120</v>
      </c>
    </row>
    <row r="246" spans="1:4" x14ac:dyDescent="0.25">
      <c r="A246" t="str">
        <f>"CAS-LDIM230A"</f>
        <v>CAS-LDIM230A</v>
      </c>
      <c r="B246" t="str">
        <f>"CASAMBI Bluetooth Lichtsteuerung, 230V Dimmer, Aufbau"</f>
        <v>CASAMBI Bluetooth Lichtsteuerung, 230V Dimmer, Aufbau</v>
      </c>
      <c r="C246" t="str">
        <f t="shared" si="9"/>
        <v>237</v>
      </c>
      <c r="D246" s="1">
        <v>115</v>
      </c>
    </row>
    <row r="247" spans="1:4" x14ac:dyDescent="0.25">
      <c r="A247" t="str">
        <f>"CAS-LDIM230E"</f>
        <v>CAS-LDIM230E</v>
      </c>
      <c r="B247" t="str">
        <f>"CASAMBI Bluetooth Lichtsteuerung, 230V Dimmer, Einbau"</f>
        <v>CASAMBI Bluetooth Lichtsteuerung, 230V Dimmer, Einbau</v>
      </c>
      <c r="C247" t="str">
        <f t="shared" si="9"/>
        <v>237</v>
      </c>
      <c r="D247" s="1">
        <v>112.25</v>
      </c>
    </row>
    <row r="248" spans="1:4" x14ac:dyDescent="0.25">
      <c r="A248" t="str">
        <f>"CAS-LRGB"</f>
        <v>CAS-LRGB</v>
      </c>
      <c r="B248" t="str">
        <f>"CASAMBI PWM4 Bluetooth Lichtsteuerung RGB"</f>
        <v>CASAMBI PWM4 Bluetooth Lichtsteuerung RGB</v>
      </c>
      <c r="C248" t="str">
        <f t="shared" si="9"/>
        <v>237</v>
      </c>
      <c r="D248" s="1">
        <v>139</v>
      </c>
    </row>
    <row r="249" spans="1:4" x14ac:dyDescent="0.25">
      <c r="A249" t="str">
        <f>"CAS-LRGBW"</f>
        <v>CAS-LRGBW</v>
      </c>
      <c r="B249" t="str">
        <f>"CASAMBI PWM4 Bluetooth Lichtsteuerung RGB+W"</f>
        <v>CASAMBI PWM4 Bluetooth Lichtsteuerung RGB+W</v>
      </c>
      <c r="C249" t="str">
        <f t="shared" si="9"/>
        <v>237</v>
      </c>
      <c r="D249" s="1">
        <v>139</v>
      </c>
    </row>
    <row r="250" spans="1:4" x14ac:dyDescent="0.25">
      <c r="A250" t="str">
        <f>"CAS-L1K"</f>
        <v>CAS-L1K</v>
      </c>
      <c r="B250" t="str">
        <f>"CASAMBI PWM4 Bluetooth Lichtsteuerung 1 Kanal"</f>
        <v>CASAMBI PWM4 Bluetooth Lichtsteuerung 1 Kanal</v>
      </c>
      <c r="C250" t="str">
        <f t="shared" si="9"/>
        <v>237</v>
      </c>
      <c r="D250" s="1">
        <v>139</v>
      </c>
    </row>
    <row r="251" spans="1:4" x14ac:dyDescent="0.25">
      <c r="A251" t="str">
        <f>"CAS-L4K"</f>
        <v>CAS-L4K</v>
      </c>
      <c r="B251" t="str">
        <f>"CASAMBI PWM4 Bluetooth Lichtsteuerung 1 Kanal"</f>
        <v>CASAMBI PWM4 Bluetooth Lichtsteuerung 1 Kanal</v>
      </c>
      <c r="C251" t="str">
        <f t="shared" si="9"/>
        <v>237</v>
      </c>
      <c r="D251" s="1">
        <v>139</v>
      </c>
    </row>
    <row r="252" spans="1:4" x14ac:dyDescent="0.25">
      <c r="A252" t="str">
        <f>"CAS-WS2"</f>
        <v>CAS-WS2</v>
      </c>
      <c r="B252" t="str">
        <f>"Batterieloser Bluetooth Wandschalter für CASAMBI, 2 Taster"</f>
        <v>Batterieloser Bluetooth Wandschalter für CASAMBI, 2 Taster</v>
      </c>
      <c r="C252" t="str">
        <f t="shared" si="9"/>
        <v>237</v>
      </c>
      <c r="D252" s="1">
        <v>125</v>
      </c>
    </row>
    <row r="253" spans="1:4" x14ac:dyDescent="0.25">
      <c r="A253" t="str">
        <f>"CAS-WS4"</f>
        <v>CAS-WS4</v>
      </c>
      <c r="B253" t="str">
        <f>"Batterieloser Bluetooth Wandschalter für CASAMBI, 4 Taster"</f>
        <v>Batterieloser Bluetooth Wandschalter für CASAMBI, 4 Taster</v>
      </c>
      <c r="C253" t="str">
        <f t="shared" si="9"/>
        <v>237</v>
      </c>
      <c r="D253" s="1">
        <v>125</v>
      </c>
    </row>
    <row r="254" spans="1:4" x14ac:dyDescent="0.25">
      <c r="A254" t="str">
        <f>"C-B1348-2"</f>
        <v>C-B1348-2</v>
      </c>
      <c r="B254" t="str">
        <f>"5705NE Blindmodul für Wand-/Deckenleuchte SuperMaxi, L=1348 mm, Alu schwarz"</f>
        <v>5705NE Blindmodul für Wand-/Deckenleuchte SuperMaxi, L=1348 mm, Alu schwarz</v>
      </c>
      <c r="C254" t="str">
        <f>"199"</f>
        <v>199</v>
      </c>
      <c r="D254" s="1">
        <v>192</v>
      </c>
    </row>
    <row r="255" spans="1:4" x14ac:dyDescent="0.25">
      <c r="A255" t="str">
        <f>"C-B1348-7"</f>
        <v>C-B1348-7</v>
      </c>
      <c r="B255" t="str">
        <f>"5705SI Blindmodul für Wand-/Deckenleuchte SuperMaxi, L=1348 mm, Alu metallgrau"</f>
        <v>5705SI Blindmodul für Wand-/Deckenleuchte SuperMaxi, L=1348 mm, Alu metallgrau</v>
      </c>
      <c r="C255" t="str">
        <f>"199"</f>
        <v>199</v>
      </c>
      <c r="D255" s="1">
        <v>199</v>
      </c>
    </row>
    <row r="256" spans="1:4" x14ac:dyDescent="0.25">
      <c r="A256" t="str">
        <f>"C-B1578-2"</f>
        <v>C-B1578-2</v>
      </c>
      <c r="B256" t="str">
        <f>"5708NE Blindmodul für Wand-/Deckenleuchte SuperMaxi, L=1578 mm, Alu schwarz"</f>
        <v>5708NE Blindmodul für Wand-/Deckenleuchte SuperMaxi, L=1578 mm, Alu schwarz</v>
      </c>
      <c r="C256" t="str">
        <f>"199"</f>
        <v>199</v>
      </c>
      <c r="D256" s="1">
        <v>230</v>
      </c>
    </row>
    <row r="257" spans="1:4" x14ac:dyDescent="0.25">
      <c r="A257" t="str">
        <f>"C-B1578-7"</f>
        <v>C-B1578-7</v>
      </c>
      <c r="B257" t="str">
        <f>"5708SI Blindmodul für Wand-/Deckenleuchte SuperMaxi, L=1578 mm, Alu metallgrau"</f>
        <v>5708SI Blindmodul für Wand-/Deckenleuchte SuperMaxi, L=1578 mm, Alu metallgrau</v>
      </c>
      <c r="C257" t="str">
        <f>"199"</f>
        <v>199</v>
      </c>
      <c r="D257" s="1">
        <v>245</v>
      </c>
    </row>
    <row r="258" spans="1:4" x14ac:dyDescent="0.25">
      <c r="A258" t="str">
        <f>"CEL-18NW1"</f>
        <v>CEL-18NW1</v>
      </c>
      <c r="B258" t="str">
        <f>"CEL, Wandleuchte, LED, 18W, 4000K, eckig, Gehäuse weiß"</f>
        <v>CEL, Wandleuchte, LED, 18W, 4000K, eckig, Gehäuse weiß</v>
      </c>
      <c r="C258" t="str">
        <f>"153"</f>
        <v>153</v>
      </c>
      <c r="D258" s="1">
        <v>122</v>
      </c>
    </row>
    <row r="259" spans="1:4" x14ac:dyDescent="0.25">
      <c r="A259" t="str">
        <f>"CEL-18NW1S"</f>
        <v>CEL-18NW1S</v>
      </c>
      <c r="B259" t="str">
        <f>"CEL, Wandleuchte, LED, 18W, 4000K, eckig, mit Sensor, Gehäuse weiß"</f>
        <v>CEL, Wandleuchte, LED, 18W, 4000K, eckig, mit Sensor, Gehäuse weiß</v>
      </c>
      <c r="C259" t="str">
        <f>"153"</f>
        <v>153</v>
      </c>
      <c r="D259" s="1">
        <v>159</v>
      </c>
    </row>
    <row r="260" spans="1:4" x14ac:dyDescent="0.25">
      <c r="A260" t="str">
        <f>"CEL-18WW1"</f>
        <v>CEL-18WW1</v>
      </c>
      <c r="B260" t="str">
        <f>"CEL, Wandleuchte, LED, 18W, 3000K, eckig, Gehäuse weiß"</f>
        <v>CEL, Wandleuchte, LED, 18W, 3000K, eckig, Gehäuse weiß</v>
      </c>
      <c r="C260" t="str">
        <f>"153"</f>
        <v>153</v>
      </c>
      <c r="D260" s="1">
        <v>122</v>
      </c>
    </row>
    <row r="261" spans="1:4" x14ac:dyDescent="0.25">
      <c r="A261" t="str">
        <f>"CEL-18WW1S"</f>
        <v>CEL-18WW1S</v>
      </c>
      <c r="B261" t="str">
        <f>"CEL, Wandleuchte, LED, 18W, 3000K, eckig, mit Sensor, Gehäuse weiß"</f>
        <v>CEL, Wandleuchte, LED, 18W, 3000K, eckig, mit Sensor, Gehäuse weiß</v>
      </c>
      <c r="C261" t="str">
        <f>"153"</f>
        <v>153</v>
      </c>
      <c r="D261" s="1">
        <v>159</v>
      </c>
    </row>
    <row r="262" spans="1:4" x14ac:dyDescent="0.25">
      <c r="A262" t="str">
        <f>"CIL-18NW1"</f>
        <v>CIL-18NW1</v>
      </c>
      <c r="B262" t="str">
        <f>"CIL, Wandleuchte, LED, 18W, 4000K, rund, Gehäuse weiß"</f>
        <v>CIL, Wandleuchte, LED, 18W, 4000K, rund, Gehäuse weiß</v>
      </c>
      <c r="C262" t="str">
        <f>"157"</f>
        <v>157</v>
      </c>
      <c r="D262" s="1">
        <v>115</v>
      </c>
    </row>
    <row r="263" spans="1:4" x14ac:dyDescent="0.25">
      <c r="A263" t="str">
        <f>"CIL-18NW1S"</f>
        <v>CIL-18NW1S</v>
      </c>
      <c r="B263" t="str">
        <f>"CIL, Wandleuchte, LED, 18W, 4000K, rund, mit Sensor, Gehäuse weiß"</f>
        <v>CIL, Wandleuchte, LED, 18W, 4000K, rund, mit Sensor, Gehäuse weiß</v>
      </c>
      <c r="C263" t="str">
        <f>"157"</f>
        <v>157</v>
      </c>
      <c r="D263" s="1">
        <v>150</v>
      </c>
    </row>
    <row r="264" spans="1:4" x14ac:dyDescent="0.25">
      <c r="A264" t="str">
        <f>"CIL-18WW1"</f>
        <v>CIL-18WW1</v>
      </c>
      <c r="B264" t="str">
        <f>"CIL, Wandleuchte, LED, 18W, 3000K, rund, Gehäuse weiß"</f>
        <v>CIL, Wandleuchte, LED, 18W, 3000K, rund, Gehäuse weiß</v>
      </c>
      <c r="C264" t="str">
        <f>"157"</f>
        <v>157</v>
      </c>
      <c r="D264" s="1">
        <v>115</v>
      </c>
    </row>
    <row r="265" spans="1:4" x14ac:dyDescent="0.25">
      <c r="A265" t="str">
        <f>"CIL-18WW1S"</f>
        <v>CIL-18WW1S</v>
      </c>
      <c r="B265" t="str">
        <f>"CIL, Wandleuchte, LED, 18W, 3000K, rund, mit Sensor, Gehäuse weiß"</f>
        <v>CIL, Wandleuchte, LED, 18W, 3000K, rund, mit Sensor, Gehäuse weiß</v>
      </c>
      <c r="C265" t="str">
        <f>"157"</f>
        <v>157</v>
      </c>
      <c r="D265" s="1">
        <v>150</v>
      </c>
    </row>
    <row r="266" spans="1:4" x14ac:dyDescent="0.25">
      <c r="A266" t="str">
        <f>"CLOCK120-10NW6"</f>
        <v>CLOCK120-10NW6</v>
      </c>
      <c r="B266" t="str">
        <f>"4664GR4K CLOCK Outdoor Strahler LED 10W, 40°, 4000K, Ø 120 mm, graphitgrau"</f>
        <v>4664GR4K CLOCK Outdoor Strahler LED 10W, 40°, 4000K, Ø 120 mm, graphitgrau</v>
      </c>
      <c r="C266" t="str">
        <f t="shared" ref="C266:C273" si="10">"217"</f>
        <v>217</v>
      </c>
      <c r="D266" s="1">
        <v>202</v>
      </c>
    </row>
    <row r="267" spans="1:4" x14ac:dyDescent="0.25">
      <c r="A267" t="str">
        <f>"CLOCK120-10NW7"</f>
        <v>CLOCK120-10NW7</v>
      </c>
      <c r="B267" t="str">
        <f>"4664GM4K CLOCK Outdoor Strahler LED 10W, 40°, 4000K, Ø 120 mm, metallgrau"</f>
        <v>4664GM4K CLOCK Outdoor Strahler LED 10W, 40°, 4000K, Ø 120 mm, metallgrau</v>
      </c>
      <c r="C267" t="str">
        <f t="shared" si="10"/>
        <v>217</v>
      </c>
      <c r="D267" s="1">
        <v>202</v>
      </c>
    </row>
    <row r="268" spans="1:4" x14ac:dyDescent="0.25">
      <c r="A268" t="str">
        <f>"CLOCK120-10WW6"</f>
        <v>CLOCK120-10WW6</v>
      </c>
      <c r="B268" t="str">
        <f>"4664GR3K CLOCK Outdoor Strahler LED 10W, 40°, 3000K, Ø 120 mm, graphitgrau"</f>
        <v>4664GR3K CLOCK Outdoor Strahler LED 10W, 40°, 3000K, Ø 120 mm, graphitgrau</v>
      </c>
      <c r="C268" t="str">
        <f t="shared" si="10"/>
        <v>217</v>
      </c>
      <c r="D268" s="1">
        <v>202</v>
      </c>
    </row>
    <row r="269" spans="1:4" x14ac:dyDescent="0.25">
      <c r="A269" t="str">
        <f>"CLOCK120-10WW7"</f>
        <v>CLOCK120-10WW7</v>
      </c>
      <c r="B269" t="str">
        <f>"4664GM3K CLOCK Outdoor Strahler LED 10W, 40°, 3000K, Ø 120 mm, metallgrau"</f>
        <v>4664GM3K CLOCK Outdoor Strahler LED 10W, 40°, 3000K, Ø 120 mm, metallgrau</v>
      </c>
      <c r="C269" t="str">
        <f t="shared" si="10"/>
        <v>217</v>
      </c>
      <c r="D269" s="1">
        <v>202</v>
      </c>
    </row>
    <row r="270" spans="1:4" x14ac:dyDescent="0.25">
      <c r="A270" t="str">
        <f>"CLOCK80-4NW6"</f>
        <v>CLOCK80-4NW6</v>
      </c>
      <c r="B270" t="str">
        <f>"4661GR4K CLOCK Outdoor Strahler LED 4W, 40°, 4000K, Ø 80 mm, graphitgrau"</f>
        <v>4661GR4K CLOCK Outdoor Strahler LED 4W, 40°, 4000K, Ø 80 mm, graphitgrau</v>
      </c>
      <c r="C270" t="str">
        <f t="shared" si="10"/>
        <v>217</v>
      </c>
      <c r="D270" s="1">
        <v>150</v>
      </c>
    </row>
    <row r="271" spans="1:4" x14ac:dyDescent="0.25">
      <c r="A271" t="str">
        <f>"CLOCK80-4NW7"</f>
        <v>CLOCK80-4NW7</v>
      </c>
      <c r="B271" t="str">
        <f>"4661GM4K CLOCK Outdoor Strahler LED 4W, 40°, 4000K, Ø 80 mm, metallgrau"</f>
        <v>4661GM4K CLOCK Outdoor Strahler LED 4W, 40°, 4000K, Ø 80 mm, metallgrau</v>
      </c>
      <c r="C271" t="str">
        <f t="shared" si="10"/>
        <v>217</v>
      </c>
      <c r="D271" s="1">
        <v>150</v>
      </c>
    </row>
    <row r="272" spans="1:4" x14ac:dyDescent="0.25">
      <c r="A272" t="str">
        <f>"CLOCK80-4WW6"</f>
        <v>CLOCK80-4WW6</v>
      </c>
      <c r="B272" t="str">
        <f>"4661GR3K CLOCK Outdoor Strahler LED 4W, 40°, 3000K, Ø 80 mm, graphitgrau"</f>
        <v>4661GR3K CLOCK Outdoor Strahler LED 4W, 40°, 3000K, Ø 80 mm, graphitgrau</v>
      </c>
      <c r="C272" t="str">
        <f t="shared" si="10"/>
        <v>217</v>
      </c>
      <c r="D272" s="1">
        <v>150</v>
      </c>
    </row>
    <row r="273" spans="1:4" x14ac:dyDescent="0.25">
      <c r="A273" t="str">
        <f>"CLOCK80-4WW7"</f>
        <v>CLOCK80-4WW7</v>
      </c>
      <c r="B273" t="str">
        <f>"4661GM3K CLOCK Outdoor Strahler LED 4W, 40°, 3000K, Ø 80 mm, metallgrau"</f>
        <v>4661GM3K CLOCK Outdoor Strahler LED 4W, 40°, 3000K, Ø 80 mm, metallgrau</v>
      </c>
      <c r="C273" t="str">
        <f t="shared" si="10"/>
        <v>217</v>
      </c>
      <c r="D273" s="1">
        <v>150</v>
      </c>
    </row>
    <row r="274" spans="1:4" x14ac:dyDescent="0.25">
      <c r="A274" t="str">
        <f>"C-MOD3"</f>
        <v>C-MOD3</v>
      </c>
      <c r="B274" t="str">
        <f>"Einbaudose für MOD-3xxx"</f>
        <v>Einbaudose für MOD-3xxx</v>
      </c>
      <c r="C274" t="str">
        <f>"229"</f>
        <v>229</v>
      </c>
      <c r="D274" s="1">
        <v>6.25</v>
      </c>
    </row>
    <row r="275" spans="1:4" x14ac:dyDescent="0.25">
      <c r="A275" t="str">
        <f>"C-MOD6"</f>
        <v>C-MOD6</v>
      </c>
      <c r="B275" t="str">
        <f>"Einbaudose für MOD-6xxx"</f>
        <v>Einbaudose für MOD-6xxx</v>
      </c>
      <c r="C275" t="str">
        <f>"229"</f>
        <v>229</v>
      </c>
      <c r="D275" s="1">
        <v>6.25</v>
      </c>
    </row>
    <row r="276" spans="1:4" x14ac:dyDescent="0.25">
      <c r="A276" t="str">
        <f>"C-STAMP120"</f>
        <v>C-STAMP120</v>
      </c>
      <c r="B276" t="str">
        <f>"5358 Einbaudose für STAMP 5321"</f>
        <v>5358 Einbaudose für STAMP 5321</v>
      </c>
      <c r="C276" t="str">
        <f>"181"</f>
        <v>181</v>
      </c>
      <c r="D276" s="1">
        <v>31</v>
      </c>
    </row>
    <row r="277" spans="1:4" x14ac:dyDescent="0.25">
      <c r="A277" t="str">
        <f>"C-STAMP187"</f>
        <v>C-STAMP187</v>
      </c>
      <c r="B277" t="str">
        <f>"5359 Einbaudose für STAMP 5323"</f>
        <v>5359 Einbaudose für STAMP 5323</v>
      </c>
      <c r="C277" t="str">
        <f>"181"</f>
        <v>181</v>
      </c>
      <c r="D277" s="1">
        <v>43</v>
      </c>
    </row>
    <row r="278" spans="1:4" x14ac:dyDescent="0.25">
      <c r="A278" t="str">
        <f>"C-TRB-33206"</f>
        <v>C-TRB-33206</v>
      </c>
      <c r="B278" t="str">
        <f>"3353GR TRIANGOLO CITY Mast mit Sensor für 1/2 Triangolo Leuchten, graphitgrau"</f>
        <v>3353GR TRIANGOLO CITY Mast mit Sensor für 1/2 Triangolo Leuchten, graphitgrau</v>
      </c>
      <c r="C278" t="str">
        <f>"197"</f>
        <v>197</v>
      </c>
      <c r="D278" s="1">
        <v>1359</v>
      </c>
    </row>
    <row r="279" spans="1:4" x14ac:dyDescent="0.25">
      <c r="A279" t="str">
        <f>"C-TR-11006"</f>
        <v>C-TR-11006</v>
      </c>
      <c r="B279" t="str">
        <f>"3344GR TRIANGOLO Mast, H=1100mm, für 1 oder 2 Triangolo Leuchten, graphitgrau"</f>
        <v>3344GR TRIANGOLO Mast, H=1100mm, für 1 oder 2 Triangolo Leuchten, graphitgrau</v>
      </c>
      <c r="C279" t="str">
        <f>"195"</f>
        <v>195</v>
      </c>
      <c r="D279" s="1">
        <v>383</v>
      </c>
    </row>
    <row r="280" spans="1:4" x14ac:dyDescent="0.25">
      <c r="A280" t="str">
        <f>"C-TR-11007"</f>
        <v>C-TR-11007</v>
      </c>
      <c r="B280" t="str">
        <f>"3344SI TRIANGOLO Mast, H=1100mm, für 1 oder 2 Triangolo Leuchten, metallgrau"</f>
        <v>3344SI TRIANGOLO Mast, H=1100mm, für 1 oder 2 Triangolo Leuchten, metallgrau</v>
      </c>
      <c r="C280" t="str">
        <f>"195"</f>
        <v>195</v>
      </c>
      <c r="D280" s="1">
        <v>414</v>
      </c>
    </row>
    <row r="281" spans="1:4" x14ac:dyDescent="0.25">
      <c r="A281" t="str">
        <f>"C-TR-33206"</f>
        <v>C-TR-33206</v>
      </c>
      <c r="B281" t="str">
        <f>"3351GR TRIANGOLO CITY Mast für 1 oder 2 Triangolo Leuchten, graphitgrau"</f>
        <v>3351GR TRIANGOLO CITY Mast für 1 oder 2 Triangolo Leuchten, graphitgrau</v>
      </c>
      <c r="C281" t="str">
        <f>"197"</f>
        <v>197</v>
      </c>
      <c r="D281" s="1">
        <v>1258</v>
      </c>
    </row>
    <row r="282" spans="1:4" x14ac:dyDescent="0.25">
      <c r="A282" t="str">
        <f>"DEL-AU1"</f>
        <v>DEL-AU1</v>
      </c>
      <c r="B282" t="str">
        <f>"DEL, Aufsatz rund zu DEL LED Modul 13W , Ø 120mm, weiss"</f>
        <v>DEL, Aufsatz rund zu DEL LED Modul 13W , Ø 120mm, weiss</v>
      </c>
      <c r="C282" t="str">
        <f t="shared" ref="C282:C291" si="11">"73"</f>
        <v>73</v>
      </c>
      <c r="D282" s="1">
        <v>6.25</v>
      </c>
    </row>
    <row r="283" spans="1:4" x14ac:dyDescent="0.25">
      <c r="A283" t="str">
        <f>"DEL-AU2"</f>
        <v>DEL-AU2</v>
      </c>
      <c r="B283" t="str">
        <f>"DEL, Adapterring rund zu DEL LED Modul 13W , Ø 140mm, weiss"</f>
        <v>DEL, Adapterring rund zu DEL LED Modul 13W , Ø 140mm, weiss</v>
      </c>
      <c r="C283" t="str">
        <f t="shared" si="11"/>
        <v>73</v>
      </c>
      <c r="D283" s="1">
        <v>7.5</v>
      </c>
    </row>
    <row r="284" spans="1:4" x14ac:dyDescent="0.25">
      <c r="A284" t="str">
        <f>"DEL-AU3"</f>
        <v>DEL-AU3</v>
      </c>
      <c r="B284" t="str">
        <f>"DEL, Aufsatz eckig zu DEL LED Modul 13W , 120x120mm, weiss"</f>
        <v>DEL, Aufsatz eckig zu DEL LED Modul 13W , 120x120mm, weiss</v>
      </c>
      <c r="C284" t="str">
        <f t="shared" si="11"/>
        <v>73</v>
      </c>
      <c r="D284" s="1">
        <v>6.25</v>
      </c>
    </row>
    <row r="285" spans="1:4" x14ac:dyDescent="0.25">
      <c r="A285" t="str">
        <f>"DEL-AU4"</f>
        <v>DEL-AU4</v>
      </c>
      <c r="B285" t="str">
        <f>"DEL, Aufsatz eckig zu DEL LED Modul 13W , 140x140mm, weiss"</f>
        <v>DEL, Aufsatz eckig zu DEL LED Modul 13W , 140x140mm, weiss</v>
      </c>
      <c r="C285" t="str">
        <f t="shared" si="11"/>
        <v>73</v>
      </c>
      <c r="D285" s="1">
        <v>8.75</v>
      </c>
    </row>
    <row r="286" spans="1:4" x14ac:dyDescent="0.25">
      <c r="A286" t="str">
        <f>"DEL-AU5"</f>
        <v>DEL-AU5</v>
      </c>
      <c r="B286" t="str">
        <f>"DEL, Aufsatz rund zu DEL LED Modul 26W , Ø 175mm, weiss"</f>
        <v>DEL, Aufsatz rund zu DEL LED Modul 26W , Ø 175mm, weiss</v>
      </c>
      <c r="C286" t="str">
        <f t="shared" si="11"/>
        <v>73</v>
      </c>
      <c r="D286" s="1">
        <v>9.75</v>
      </c>
    </row>
    <row r="287" spans="1:4" x14ac:dyDescent="0.25">
      <c r="A287" t="str">
        <f>"DEL-AU6"</f>
        <v>DEL-AU6</v>
      </c>
      <c r="B287" t="str">
        <f>"DEL, Aufsatz rund zu DEL LED Modul 26W , Ø 210mm, weiss"</f>
        <v>DEL, Aufsatz rund zu DEL LED Modul 26W , Ø 210mm, weiss</v>
      </c>
      <c r="C287" t="str">
        <f t="shared" si="11"/>
        <v>73</v>
      </c>
      <c r="D287" s="1">
        <v>11.25</v>
      </c>
    </row>
    <row r="288" spans="1:4" x14ac:dyDescent="0.25">
      <c r="A288" t="str">
        <f>"DEL-AU7"</f>
        <v>DEL-AU7</v>
      </c>
      <c r="B288" t="str">
        <f>"DEL, Aufsatz eckig zu DEL LED Modul 26W , 175x175mm, weiss"</f>
        <v>DEL, Aufsatz eckig zu DEL LED Modul 26W , 175x175mm, weiss</v>
      </c>
      <c r="C288" t="str">
        <f t="shared" si="11"/>
        <v>73</v>
      </c>
      <c r="D288" s="1">
        <v>10</v>
      </c>
    </row>
    <row r="289" spans="1:4" x14ac:dyDescent="0.25">
      <c r="A289" t="str">
        <f>"DEL-AU8"</f>
        <v>DEL-AU8</v>
      </c>
      <c r="B289" t="str">
        <f>"DEL, Aufsatz eckig zu DEL LED Modul 26W , 210x210mm, weiss"</f>
        <v>DEL, Aufsatz eckig zu DEL LED Modul 26W , 210x210mm, weiss</v>
      </c>
      <c r="C289" t="str">
        <f t="shared" si="11"/>
        <v>73</v>
      </c>
      <c r="D289" s="1">
        <v>11.25</v>
      </c>
    </row>
    <row r="290" spans="1:4" x14ac:dyDescent="0.25">
      <c r="A290" t="str">
        <f>"DEL-13WW3"</f>
        <v>DEL-13WW3</v>
      </c>
      <c r="B290" t="str">
        <f>"DEL, CoB LED Modul 13W, 3000K, 350mA, chrom glanz"</f>
        <v>DEL, CoB LED Modul 13W, 3000K, 350mA, chrom glanz</v>
      </c>
      <c r="C290" t="str">
        <f t="shared" si="11"/>
        <v>73</v>
      </c>
      <c r="D290" s="1">
        <v>88</v>
      </c>
    </row>
    <row r="291" spans="1:4" x14ac:dyDescent="0.25">
      <c r="A291" t="str">
        <f>"DEL-26WW3"</f>
        <v>DEL-26WW3</v>
      </c>
      <c r="B291" t="str">
        <f>"DEL, CoB LED Modul 27W, 3000K, 700mA, chrom glanz"</f>
        <v>DEL, CoB LED Modul 27W, 3000K, 700mA, chrom glanz</v>
      </c>
      <c r="C291" t="str">
        <f t="shared" si="11"/>
        <v>73</v>
      </c>
      <c r="D291" s="1">
        <v>125</v>
      </c>
    </row>
    <row r="292" spans="1:4" x14ac:dyDescent="0.25">
      <c r="A292" t="str">
        <f>"DIL-ADA01"</f>
        <v>DIL-ADA01</v>
      </c>
      <c r="B292" t="str">
        <f>"DIL, Aufsatz Adapter zu DIL LED Modul, Innenring schwenkbar, weiss "</f>
        <v xml:space="preserve">DIL, Aufsatz Adapter zu DIL LED Modul, Innenring schwenkbar, weiss </v>
      </c>
      <c r="C292" t="str">
        <f>"76"</f>
        <v>76</v>
      </c>
      <c r="D292" s="1">
        <v>8.75</v>
      </c>
    </row>
    <row r="293" spans="1:4" x14ac:dyDescent="0.25">
      <c r="A293" t="str">
        <f>"DIL-AU1"</f>
        <v>DIL-AU1</v>
      </c>
      <c r="B293" t="str">
        <f>"DIL, Aufsatz rund zu DIL LED Modul 7W und 13W, Innenring schwenkbar, weiss"</f>
        <v>DIL, Aufsatz rund zu DIL LED Modul 7W und 13W, Innenring schwenkbar, weiss</v>
      </c>
      <c r="C293" t="str">
        <f>"76"</f>
        <v>76</v>
      </c>
      <c r="D293" s="1">
        <v>14.75</v>
      </c>
    </row>
    <row r="294" spans="1:4" x14ac:dyDescent="0.25">
      <c r="A294" t="str">
        <f>"DIL-AU10-2"</f>
        <v>DIL-AU10-2</v>
      </c>
      <c r="B294" t="str">
        <f>"DIL, Hoher Aufsatz rund zu DIL LED Modul 7W und 13W, schwarz"</f>
        <v>DIL, Hoher Aufsatz rund zu DIL LED Modul 7W und 13W, schwarz</v>
      </c>
      <c r="C294" t="str">
        <f>"75"</f>
        <v>75</v>
      </c>
      <c r="D294" s="1">
        <v>15</v>
      </c>
    </row>
    <row r="295" spans="1:4" x14ac:dyDescent="0.25">
      <c r="A295" t="str">
        <f>"DIL-AU11"</f>
        <v>DIL-AU11</v>
      </c>
      <c r="B295" t="str">
        <f>"DIL, Hoher Aufsatz rund zu DIL LED Modul 7W, 8W u. 13W,  innen gold - außen weiß"</f>
        <v>DIL, Hoher Aufsatz rund zu DIL LED Modul 7W, 8W u. 13W,  innen gold - außen weiß</v>
      </c>
      <c r="C295" t="str">
        <f>"75"</f>
        <v>75</v>
      </c>
      <c r="D295" s="1">
        <v>15</v>
      </c>
    </row>
    <row r="296" spans="1:4" x14ac:dyDescent="0.25">
      <c r="A296" t="str">
        <f>"DIL-AU11-2"</f>
        <v>DIL-AU11-2</v>
      </c>
      <c r="B296" t="str">
        <f>"DIL, Hoher Aufsatz rund zu DIL LED Modul 7W,8W u.13W, innen gold - außen schwarz"</f>
        <v>DIL, Hoher Aufsatz rund zu DIL LED Modul 7W,8W u.13W, innen gold - außen schwarz</v>
      </c>
      <c r="C296" t="str">
        <f>"75"</f>
        <v>75</v>
      </c>
      <c r="D296" s="1">
        <v>15</v>
      </c>
    </row>
    <row r="297" spans="1:4" x14ac:dyDescent="0.25">
      <c r="A297" t="str">
        <f>"DIL-AU2"</f>
        <v>DIL-AU2</v>
      </c>
      <c r="B297" t="str">
        <f>"DIL, Zurückversetzter Aufsatz rund zu DIL LED Modul 7W und 13W, weiss"</f>
        <v>DIL, Zurückversetzter Aufsatz rund zu DIL LED Modul 7W und 13W, weiss</v>
      </c>
      <c r="C297" t="str">
        <f t="shared" ref="C297:C304" si="12">"76"</f>
        <v>76</v>
      </c>
      <c r="D297" s="1">
        <v>17.5</v>
      </c>
    </row>
    <row r="298" spans="1:4" x14ac:dyDescent="0.25">
      <c r="A298" t="str">
        <f>"DIL-AU3"</f>
        <v>DIL-AU3</v>
      </c>
      <c r="B298" t="str">
        <f>"DIL, Aufsatz rund zu DIL LED Modul 7W und 13W, Austrahlwinkel asymmetrisch, weis"</f>
        <v>DIL, Aufsatz rund zu DIL LED Modul 7W und 13W, Austrahlwinkel asymmetrisch, weis</v>
      </c>
      <c r="C298" t="str">
        <f t="shared" si="12"/>
        <v>76</v>
      </c>
      <c r="D298" s="1">
        <v>17.5</v>
      </c>
    </row>
    <row r="299" spans="1:4" x14ac:dyDescent="0.25">
      <c r="A299" t="str">
        <f>"DIL-AU4"</f>
        <v>DIL-AU4</v>
      </c>
      <c r="B299" t="str">
        <f>"DIL, Aufsatz rund zu DIL LED Modul 7W und 13W, weiss"</f>
        <v>DIL, Aufsatz rund zu DIL LED Modul 7W und 13W, weiss</v>
      </c>
      <c r="C299" t="str">
        <f t="shared" si="12"/>
        <v>76</v>
      </c>
      <c r="D299" s="1">
        <v>10</v>
      </c>
    </row>
    <row r="300" spans="1:4" x14ac:dyDescent="0.25">
      <c r="A300" t="str">
        <f>"DIL-AU5"</f>
        <v>DIL-AU5</v>
      </c>
      <c r="B300" t="str">
        <f>"DIL, Aufsatz eckig zu DIL LED Modul 7W und 13W, weiss"</f>
        <v>DIL, Aufsatz eckig zu DIL LED Modul 7W und 13W, weiss</v>
      </c>
      <c r="C300" t="str">
        <f t="shared" si="12"/>
        <v>76</v>
      </c>
      <c r="D300" s="1">
        <v>12.5</v>
      </c>
    </row>
    <row r="301" spans="1:4" x14ac:dyDescent="0.25">
      <c r="A301" t="str">
        <f>"DIL-AU6"</f>
        <v>DIL-AU6</v>
      </c>
      <c r="B301" t="str">
        <f>"DIL, Aufsatz rund für Einbau zu DIL LED Modul 7W und 13W, weiss"</f>
        <v>DIL, Aufsatz rund für Einbau zu DIL LED Modul 7W und 13W, weiss</v>
      </c>
      <c r="C301" t="str">
        <f t="shared" si="12"/>
        <v>76</v>
      </c>
      <c r="D301" s="1">
        <v>10</v>
      </c>
    </row>
    <row r="302" spans="1:4" x14ac:dyDescent="0.25">
      <c r="A302" t="str">
        <f>"DIL-AU7"</f>
        <v>DIL-AU7</v>
      </c>
      <c r="B302" t="str">
        <f>"DIL, Aufsatz eckig für Einbau zu DIL LED Modul 7W und 13W, weiss"</f>
        <v>DIL, Aufsatz eckig für Einbau zu DIL LED Modul 7W und 13W, weiss</v>
      </c>
      <c r="C302" t="str">
        <f t="shared" si="12"/>
        <v>76</v>
      </c>
      <c r="D302" s="1">
        <v>11.75</v>
      </c>
    </row>
    <row r="303" spans="1:4" x14ac:dyDescent="0.25">
      <c r="A303" t="str">
        <f>"DIL-AU8"</f>
        <v>DIL-AU8</v>
      </c>
      <c r="B303" t="str">
        <f>"DIL, Hoher Aufsatz eckig zu DIL LED Modul 7W und 13W, weiss"</f>
        <v>DIL, Hoher Aufsatz eckig zu DIL LED Modul 7W und 13W, weiss</v>
      </c>
      <c r="C303" t="str">
        <f t="shared" si="12"/>
        <v>76</v>
      </c>
      <c r="D303" s="1">
        <v>12.5</v>
      </c>
    </row>
    <row r="304" spans="1:4" x14ac:dyDescent="0.25">
      <c r="A304" t="str">
        <f>"DIL-AU9"</f>
        <v>DIL-AU9</v>
      </c>
      <c r="B304" t="str">
        <f>"DIL, Hoher Aufsatz rund zu DIL LED Modul 7W und 13W, weiss"</f>
        <v>DIL, Hoher Aufsatz rund zu DIL LED Modul 7W und 13W, weiss</v>
      </c>
      <c r="C304" t="str">
        <f t="shared" si="12"/>
        <v>76</v>
      </c>
      <c r="D304" s="1">
        <v>11.25</v>
      </c>
    </row>
    <row r="305" spans="1:4" x14ac:dyDescent="0.25">
      <c r="A305" t="str">
        <f>"DIL-BS02"</f>
        <v>DIL-BS02</v>
      </c>
      <c r="B305" t="str">
        <f>"DIL, Entblendungsring zu DIL LED Modul 7W und 13W, schwarz"</f>
        <v>DIL, Entblendungsring zu DIL LED Modul 7W und 13W, schwarz</v>
      </c>
      <c r="C305" t="str">
        <f>"75"</f>
        <v>75</v>
      </c>
      <c r="D305" s="1">
        <v>6</v>
      </c>
    </row>
    <row r="306" spans="1:4" x14ac:dyDescent="0.25">
      <c r="A306" t="str">
        <f>"DIL-GL01"</f>
        <v>DIL-GL01</v>
      </c>
      <c r="B306" t="str">
        <f>"DIL, Glasaufsatz zu DIL LED Modul 7W und 13W, weiss"</f>
        <v>DIL, Glasaufsatz zu DIL LED Modul 7W und 13W, weiss</v>
      </c>
      <c r="C306" t="str">
        <f>"76"</f>
        <v>76</v>
      </c>
      <c r="D306" s="1">
        <v>13.25</v>
      </c>
    </row>
    <row r="307" spans="1:4" x14ac:dyDescent="0.25">
      <c r="A307" t="str">
        <f>"DIL-GL02"</f>
        <v>DIL-GL02</v>
      </c>
      <c r="B307" t="str">
        <f>"DIL, Glasaufsatz zu DIL LED Modul 7W und 13W, schwarz"</f>
        <v>DIL, Glasaufsatz zu DIL LED Modul 7W und 13W, schwarz</v>
      </c>
      <c r="C307" t="str">
        <f>"76"</f>
        <v>76</v>
      </c>
      <c r="D307" s="1">
        <v>13.25</v>
      </c>
    </row>
    <row r="308" spans="1:4" x14ac:dyDescent="0.25">
      <c r="A308" t="str">
        <f>"DIL-R15"</f>
        <v>DIL-R15</v>
      </c>
      <c r="B308" t="str">
        <f>"DIL, Reflektor 15° mit Frontscheibe zu DIL LED Modul 7W"</f>
        <v>DIL, Reflektor 15° mit Frontscheibe zu DIL LED Modul 7W</v>
      </c>
      <c r="C308" t="str">
        <f t="shared" ref="C308:C318" si="13">"75"</f>
        <v>75</v>
      </c>
      <c r="D308" s="1">
        <v>6</v>
      </c>
    </row>
    <row r="309" spans="1:4" x14ac:dyDescent="0.25">
      <c r="A309" t="str">
        <f>"DIL-R15B"</f>
        <v>DIL-R15B</v>
      </c>
      <c r="B309" t="str">
        <f>"DIL, Reflektor 15° mit Frontscheibe zu DIL LED Modul 13W"</f>
        <v>DIL, Reflektor 15° mit Frontscheibe zu DIL LED Modul 13W</v>
      </c>
      <c r="C309" t="str">
        <f t="shared" si="13"/>
        <v>75</v>
      </c>
      <c r="D309" s="1">
        <v>6</v>
      </c>
    </row>
    <row r="310" spans="1:4" x14ac:dyDescent="0.25">
      <c r="A310" t="str">
        <f>"DIL-13NW1-K"</f>
        <v>DIL-13NW1-K</v>
      </c>
      <c r="B310" t="str">
        <f>"DIL, LED Modul 12W, 4000K, 350mA, weiss"</f>
        <v>DIL, LED Modul 12W, 4000K, 350mA, weiss</v>
      </c>
      <c r="C310" t="str">
        <f t="shared" si="13"/>
        <v>75</v>
      </c>
      <c r="D310" s="1">
        <v>62</v>
      </c>
    </row>
    <row r="311" spans="1:4" x14ac:dyDescent="0.25">
      <c r="A311" t="str">
        <f>"DIL-13SW1-K"</f>
        <v>DIL-13SW1-K</v>
      </c>
      <c r="B311" t="str">
        <f>"DIL, LED Modul 12W, 2700K, 350mA, weiß"</f>
        <v>DIL, LED Modul 12W, 2700K, 350mA, weiß</v>
      </c>
      <c r="C311" t="str">
        <f t="shared" si="13"/>
        <v>75</v>
      </c>
      <c r="D311" s="1">
        <v>62</v>
      </c>
    </row>
    <row r="312" spans="1:4" x14ac:dyDescent="0.25">
      <c r="A312" t="str">
        <f>"DIL-13WW1-K"</f>
        <v>DIL-13WW1-K</v>
      </c>
      <c r="B312" t="str">
        <f>"DIL, LED Modul 12W, 3000K, 350mA, weiß"</f>
        <v>DIL, LED Modul 12W, 3000K, 350mA, weiß</v>
      </c>
      <c r="C312" t="str">
        <f t="shared" si="13"/>
        <v>75</v>
      </c>
      <c r="D312" s="1">
        <v>62</v>
      </c>
    </row>
    <row r="313" spans="1:4" x14ac:dyDescent="0.25">
      <c r="A313" t="str">
        <f>"DIL-7NW1-K"</f>
        <v>DIL-7NW1-K</v>
      </c>
      <c r="B313" t="str">
        <f>"DIL, LED Modul 7W, 4000K, 700mA, weiss"</f>
        <v>DIL, LED Modul 7W, 4000K, 700mA, weiss</v>
      </c>
      <c r="C313" t="str">
        <f t="shared" si="13"/>
        <v>75</v>
      </c>
      <c r="D313" s="1">
        <v>45</v>
      </c>
    </row>
    <row r="314" spans="1:4" x14ac:dyDescent="0.25">
      <c r="A314" t="str">
        <f>"DIL-7SW1-K"</f>
        <v>DIL-7SW1-K</v>
      </c>
      <c r="B314" t="str">
        <f>"DIL, LED Modul 7W, 2700K, 700mA, weiss"</f>
        <v>DIL, LED Modul 7W, 2700K, 700mA, weiss</v>
      </c>
      <c r="C314" t="str">
        <f t="shared" si="13"/>
        <v>75</v>
      </c>
      <c r="D314" s="1">
        <v>45</v>
      </c>
    </row>
    <row r="315" spans="1:4" x14ac:dyDescent="0.25">
      <c r="A315" t="str">
        <f>"DIL-7WW1-K"</f>
        <v>DIL-7WW1-K</v>
      </c>
      <c r="B315" t="str">
        <f>"DIL, LED Modul 7W, 3000K, 700mA, weiss"</f>
        <v>DIL, LED Modul 7W, 3000K, 700mA, weiss</v>
      </c>
      <c r="C315" t="str">
        <f t="shared" si="13"/>
        <v>75</v>
      </c>
      <c r="D315" s="1">
        <v>45</v>
      </c>
    </row>
    <row r="316" spans="1:4" x14ac:dyDescent="0.25">
      <c r="A316" t="str">
        <f>"DIL-8NW6"</f>
        <v>DIL-8NW6</v>
      </c>
      <c r="B316" t="str">
        <f>"DIL, LED Modul, rund, COB LED 8W, 2700K, weiss"</f>
        <v>DIL, LED Modul, rund, COB LED 8W, 2700K, weiss</v>
      </c>
      <c r="C316" t="str">
        <f t="shared" si="13"/>
        <v>75</v>
      </c>
      <c r="D316" s="1">
        <v>21.45</v>
      </c>
    </row>
    <row r="317" spans="1:4" x14ac:dyDescent="0.25">
      <c r="A317" t="str">
        <f>"DIL-8SW6"</f>
        <v>DIL-8SW6</v>
      </c>
      <c r="B317" t="str">
        <f>"DIL, LED Modul, rund, COB LED 8W, 2700K, weiss"</f>
        <v>DIL, LED Modul, rund, COB LED 8W, 2700K, weiss</v>
      </c>
      <c r="C317" t="str">
        <f t="shared" si="13"/>
        <v>75</v>
      </c>
      <c r="D317" s="1">
        <v>21.45</v>
      </c>
    </row>
    <row r="318" spans="1:4" x14ac:dyDescent="0.25">
      <c r="A318" t="str">
        <f>"DIL-8WW6"</f>
        <v>DIL-8WW6</v>
      </c>
      <c r="B318" t="str">
        <f>"DIL, LED Modul, rund, COB LED 8W, 3000K, weiss"</f>
        <v>DIL, LED Modul, rund, COB LED 8W, 3000K, weiss</v>
      </c>
      <c r="C318" t="str">
        <f t="shared" si="13"/>
        <v>75</v>
      </c>
      <c r="D318" s="1">
        <v>21.45</v>
      </c>
    </row>
    <row r="319" spans="1:4" x14ac:dyDescent="0.25">
      <c r="A319" t="str">
        <f>"DLEP-13WW1FN"</f>
        <v>DLEP-13WW1FN</v>
      </c>
      <c r="B319" t="str">
        <f>"DLEPN, LED Einbaudownlight, 15W, warmweiss, Gehäuse weiss"</f>
        <v>DLEPN, LED Einbaudownlight, 15W, warmweiss, Gehäuse weiss</v>
      </c>
      <c r="C319" t="str">
        <f>"205"</f>
        <v>205</v>
      </c>
      <c r="D319" s="1">
        <v>52</v>
      </c>
    </row>
    <row r="320" spans="1:4" x14ac:dyDescent="0.25">
      <c r="A320" t="str">
        <f>"DLEP-14CW1FN"</f>
        <v>DLEP-14CW1FN</v>
      </c>
      <c r="B320" t="str">
        <f>"DLEPN, LED Einbaudownlight, 15W, kaltweiss, Gehäuse weiss"</f>
        <v>DLEPN, LED Einbaudownlight, 15W, kaltweiss, Gehäuse weiss</v>
      </c>
      <c r="C320" t="str">
        <f>"205"</f>
        <v>205</v>
      </c>
      <c r="D320" s="1">
        <v>52</v>
      </c>
    </row>
    <row r="321" spans="1:4" x14ac:dyDescent="0.25">
      <c r="A321" t="str">
        <f>"DLEP-24WW1FN"</f>
        <v>DLEP-24WW1FN</v>
      </c>
      <c r="B321" t="str">
        <f>"DLEPN, LED Einbaudownlight, 25W, warmweiss, Gehäuse weiss"</f>
        <v>DLEPN, LED Einbaudownlight, 25W, warmweiss, Gehäuse weiss</v>
      </c>
      <c r="C321" t="str">
        <f>"205"</f>
        <v>205</v>
      </c>
      <c r="D321" s="1">
        <v>74</v>
      </c>
    </row>
    <row r="322" spans="1:4" x14ac:dyDescent="0.25">
      <c r="A322" t="str">
        <f>"DLEP-26CW1FN"</f>
        <v>DLEP-26CW1FN</v>
      </c>
      <c r="B322" t="str">
        <f>"DLEPN, LED Einbaudownlight, 26W, 5000K, Gehäuse weiss"</f>
        <v>DLEPN, LED Einbaudownlight, 26W, 5000K, Gehäuse weiss</v>
      </c>
      <c r="C322" t="str">
        <f>"205"</f>
        <v>205</v>
      </c>
      <c r="D322" s="1">
        <v>74</v>
      </c>
    </row>
    <row r="323" spans="1:4" x14ac:dyDescent="0.25">
      <c r="A323" t="str">
        <f>"DOM-6032R"</f>
        <v>DOM-6032R</v>
      </c>
      <c r="B323" t="str">
        <f>"DOM, Halbkugelförmige Pendelleuchte, max. 60W, 230V, E27, schwarz"</f>
        <v>DOM, Halbkugelförmige Pendelleuchte, max. 60W, 230V, E27, schwarz</v>
      </c>
      <c r="C323" t="str">
        <f>"143"</f>
        <v>143</v>
      </c>
      <c r="D323" s="1">
        <v>230</v>
      </c>
    </row>
    <row r="324" spans="1:4" x14ac:dyDescent="0.25">
      <c r="A324" t="str">
        <f>"EDY-13NW1"</f>
        <v>EDY-13NW1</v>
      </c>
      <c r="B324" t="str">
        <f>"EDY, Einbaudownlight, UGR&lt;19, LED 13W, Ausstrahlw. 45°, CRI&gt;80, 4000K,  "</f>
        <v xml:space="preserve">EDY, Einbaudownlight, UGR&lt;19, LED 13W, Ausstrahlw. 45°, CRI&gt;80, 4000K,  </v>
      </c>
      <c r="C324" t="str">
        <f>"63"</f>
        <v>63</v>
      </c>
      <c r="D324" s="1">
        <v>57.5</v>
      </c>
    </row>
    <row r="325" spans="1:4" x14ac:dyDescent="0.25">
      <c r="A325" t="str">
        <f>"EDY-13WW1"</f>
        <v>EDY-13WW1</v>
      </c>
      <c r="B325" t="str">
        <f>"EDY, Einbaudownlight, UGR&lt;19, LED 13W, Ausstrahlw. 45°, CRI&gt;80, 3000K,  "</f>
        <v xml:space="preserve">EDY, Einbaudownlight, UGR&lt;19, LED 13W, Ausstrahlw. 45°, CRI&gt;80, 3000K,  </v>
      </c>
      <c r="C325" t="str">
        <f>"63"</f>
        <v>63</v>
      </c>
      <c r="D325" s="1">
        <v>57.5</v>
      </c>
    </row>
    <row r="326" spans="1:4" x14ac:dyDescent="0.25">
      <c r="A326" t="str">
        <f>"EDY-25NW1"</f>
        <v>EDY-25NW1</v>
      </c>
      <c r="B326" t="str">
        <f>"EDY, Einbaudownlight, UGR&lt;19, LED 26W, Ausstrahlw. 36°, CRI&gt;80, 4000K,  "</f>
        <v xml:space="preserve">EDY, Einbaudownlight, UGR&lt;19, LED 26W, Ausstrahlw. 36°, CRI&gt;80, 4000K,  </v>
      </c>
      <c r="C326" t="str">
        <f>"63"</f>
        <v>63</v>
      </c>
      <c r="D326" s="1">
        <v>97.5</v>
      </c>
    </row>
    <row r="327" spans="1:4" x14ac:dyDescent="0.25">
      <c r="A327" t="str">
        <f>"EDY-25WW1"</f>
        <v>EDY-25WW1</v>
      </c>
      <c r="B327" t="str">
        <f>"EDY, Einbaudownlight, UGR&lt;19, LED 26W, Ausstrahlw. 36°, CRI&gt;80, 3000K,  "</f>
        <v xml:space="preserve">EDY, Einbaudownlight, UGR&lt;19, LED 26W, Ausstrahlw. 36°, CRI&gt;80, 3000K,  </v>
      </c>
      <c r="C327" t="str">
        <f>"63"</f>
        <v>63</v>
      </c>
      <c r="D327" s="1">
        <v>97.5</v>
      </c>
    </row>
    <row r="328" spans="1:4" x14ac:dyDescent="0.25">
      <c r="A328" t="str">
        <f>"ELEDN-AUR120"</f>
        <v>ELEDN-AUR120</v>
      </c>
      <c r="B328" t="str">
        <f>"Aufbaurahmen für ELEDN Deckeneinlegeleuchte 1200x30mm, weiss"</f>
        <v>Aufbaurahmen für ELEDN Deckeneinlegeleuchte 1200x30mm, weiss</v>
      </c>
      <c r="C328" t="str">
        <f>"167"</f>
        <v>167</v>
      </c>
      <c r="D328" s="1">
        <v>39</v>
      </c>
    </row>
    <row r="329" spans="1:4" x14ac:dyDescent="0.25">
      <c r="A329" t="str">
        <f>"ELEDN-AUR626"</f>
        <v>ELEDN-AUR626</v>
      </c>
      <c r="B329" t="str">
        <f>"Aufbaurahmen für ELEDN Deckeneinlegeleuchte 626x626mm, weiss"</f>
        <v>Aufbaurahmen für ELEDN Deckeneinlegeleuchte 626x626mm, weiss</v>
      </c>
      <c r="C329" t="str">
        <f>"169"</f>
        <v>169</v>
      </c>
      <c r="D329" s="1">
        <v>34</v>
      </c>
    </row>
    <row r="330" spans="1:4" x14ac:dyDescent="0.25">
      <c r="A330" t="str">
        <f>"ELEDN-40NW11P"</f>
        <v>ELEDN-40NW11P</v>
      </c>
      <c r="B330" t="str">
        <f>"ELED Deckeneinlegeleuchte, 1x40W, 4000K, Modul 622,UGR&lt;19, weiss"</f>
        <v>ELED Deckeneinlegeleuchte, 1x40W, 4000K, Modul 622,UGR&lt;19, weiss</v>
      </c>
      <c r="C330" t="str">
        <f>"165"</f>
        <v>165</v>
      </c>
      <c r="D330" s="1">
        <v>97.5</v>
      </c>
    </row>
    <row r="331" spans="1:4" x14ac:dyDescent="0.25">
      <c r="A331" t="str">
        <f>"ELEDN-40WW/SCW11"</f>
        <v>ELEDN-40WW/SCW11</v>
      </c>
      <c r="B331" t="str">
        <f>"ELED Deckeneinlegeleuchte, 1x40W, 3000-6000K, Modul 622,UGR&lt;19, weiss"</f>
        <v>ELED Deckeneinlegeleuchte, 1x40W, 3000-6000K, Modul 622,UGR&lt;19, weiss</v>
      </c>
      <c r="C331" t="str">
        <f>"165"</f>
        <v>165</v>
      </c>
      <c r="D331" s="1">
        <v>170</v>
      </c>
    </row>
    <row r="332" spans="1:4" x14ac:dyDescent="0.25">
      <c r="A332" t="str">
        <f>"ELEDN-40WW11P"</f>
        <v>ELEDN-40WW11P</v>
      </c>
      <c r="B332" t="str">
        <f>"ELED Deckeneinlegeleuchte, 1x40W, 3000K, Modul 622,UGR&lt;19, weiss"</f>
        <v>ELED Deckeneinlegeleuchte, 1x40W, 3000K, Modul 622,UGR&lt;19, weiss</v>
      </c>
      <c r="C332" t="str">
        <f>"165"</f>
        <v>165</v>
      </c>
      <c r="D332" s="1">
        <v>97.5</v>
      </c>
    </row>
    <row r="333" spans="1:4" x14ac:dyDescent="0.25">
      <c r="A333" t="str">
        <f>"ELEDN4-40NW11P"</f>
        <v>ELEDN4-40NW11P</v>
      </c>
      <c r="B333" t="str">
        <f>"ELED Deckeneinlegeleuchte, 1x40W, Modul 1200x300mm, UGR19, 4000K, weiß"</f>
        <v>ELED Deckeneinlegeleuchte, 1x40W, Modul 1200x300mm, UGR19, 4000K, weiß</v>
      </c>
      <c r="C333" t="str">
        <f>"167"</f>
        <v>167</v>
      </c>
      <c r="D333" s="1">
        <v>135</v>
      </c>
    </row>
    <row r="334" spans="1:4" x14ac:dyDescent="0.25">
      <c r="A334" t="str">
        <f>"ELEDN4-40WW11P"</f>
        <v>ELEDN4-40WW11P</v>
      </c>
      <c r="B334" t="str">
        <f>"ELED Deckeneinlegeleuchte, 1x40W, Modul 1200x300mm, UGR19, 3000K, weiß"</f>
        <v>ELED Deckeneinlegeleuchte, 1x40W, Modul 1200x300mm, UGR19, 3000K, weiß</v>
      </c>
      <c r="C334" t="str">
        <f>"167"</f>
        <v>167</v>
      </c>
      <c r="D334" s="1">
        <v>135</v>
      </c>
    </row>
    <row r="335" spans="1:4" x14ac:dyDescent="0.25">
      <c r="A335" t="str">
        <f>"ELEDQ-32NW11T"</f>
        <v>ELEDQ-32NW11T</v>
      </c>
      <c r="B335" t="str">
        <f>"ELEDQ Deckeneinlegeleuchte, 1x32W, 4000K, Modul 620, UGR&lt;19, weiss"</f>
        <v>ELEDQ Deckeneinlegeleuchte, 1x32W, 4000K, Modul 620, UGR&lt;19, weiss</v>
      </c>
      <c r="C335" t="str">
        <f>"169"</f>
        <v>169</v>
      </c>
      <c r="D335" s="1">
        <v>142</v>
      </c>
    </row>
    <row r="336" spans="1:4" x14ac:dyDescent="0.25">
      <c r="A336" t="str">
        <f>"ELEDQ-32WW11T"</f>
        <v>ELEDQ-32WW11T</v>
      </c>
      <c r="B336" t="str">
        <f>"ELEDQ Deckeneinlegeleuchte, 1x32W, 3000K, Modul 620, UGR&lt;19, weiss"</f>
        <v>ELEDQ Deckeneinlegeleuchte, 1x32W, 3000K, Modul 620, UGR&lt;19, weiss</v>
      </c>
      <c r="C336" t="str">
        <f>"169"</f>
        <v>169</v>
      </c>
      <c r="D336" s="1">
        <v>142</v>
      </c>
    </row>
    <row r="337" spans="1:4" x14ac:dyDescent="0.25">
      <c r="A337" t="str">
        <f>"ELEDR-40NW31P"</f>
        <v>ELEDR-40NW31P</v>
      </c>
      <c r="B337" t="str">
        <f>"ELED,  Pendelleuchte, 1x40W, 4000K, Durchm. 600mm, UGR&lt;19, weiss"</f>
        <v>ELED,  Pendelleuchte, 1x40W, 4000K, Durchm. 600mm, UGR&lt;19, weiss</v>
      </c>
      <c r="C337" t="str">
        <f>"135"</f>
        <v>135</v>
      </c>
      <c r="D337" s="1">
        <v>170</v>
      </c>
    </row>
    <row r="338" spans="1:4" x14ac:dyDescent="0.25">
      <c r="A338" t="str">
        <f>"ELEDR-40WW31P"</f>
        <v>ELEDR-40WW31P</v>
      </c>
      <c r="B338" t="str">
        <f>"ELED,  Pendelleuchte, 1x40W, 3000K, Durchm. 600mm, UGR&lt;19, weiss"</f>
        <v>ELED,  Pendelleuchte, 1x40W, 3000K, Durchm. 600mm, UGR&lt;19, weiss</v>
      </c>
      <c r="C338" t="str">
        <f>"135"</f>
        <v>135</v>
      </c>
      <c r="D338" s="1">
        <v>170</v>
      </c>
    </row>
    <row r="339" spans="1:4" x14ac:dyDescent="0.25">
      <c r="A339" t="str">
        <f>"ELEIP-6NW1-K"</f>
        <v>ELEIP-6NW1-K</v>
      </c>
      <c r="B339" t="str">
        <f>"ELEIP, Einbaudownlight eckig, COB LED 6W, 4000K, starr, weiss"</f>
        <v>ELEIP, Einbaudownlight eckig, COB LED 6W, 4000K, starr, weiss</v>
      </c>
      <c r="C339" t="str">
        <f t="shared" ref="C339:C350" si="14">"81"</f>
        <v>81</v>
      </c>
      <c r="D339" s="1">
        <v>47</v>
      </c>
    </row>
    <row r="340" spans="1:4" x14ac:dyDescent="0.25">
      <c r="A340" t="str">
        <f>"ELEIP-6NW7-K"</f>
        <v>ELEIP-6NW7-K</v>
      </c>
      <c r="B340" t="str">
        <f>"ELEIP, Einbaudownlight eckig, COB LED 6W, 4000K, starr, alu matt"</f>
        <v>ELEIP, Einbaudownlight eckig, COB LED 6W, 4000K, starr, alu matt</v>
      </c>
      <c r="C340" t="str">
        <f t="shared" si="14"/>
        <v>81</v>
      </c>
      <c r="D340" s="1">
        <v>47</v>
      </c>
    </row>
    <row r="341" spans="1:4" x14ac:dyDescent="0.25">
      <c r="A341" t="str">
        <f>"ELEIP-6SW1-K"</f>
        <v>ELEIP-6SW1-K</v>
      </c>
      <c r="B341" t="str">
        <f>"ELEIP, Einbaudownlight eckig, COB LED 6W, 2700K, starr, weiss"</f>
        <v>ELEIP, Einbaudownlight eckig, COB LED 6W, 2700K, starr, weiss</v>
      </c>
      <c r="C341" t="str">
        <f t="shared" si="14"/>
        <v>81</v>
      </c>
      <c r="D341" s="1">
        <v>47</v>
      </c>
    </row>
    <row r="342" spans="1:4" x14ac:dyDescent="0.25">
      <c r="A342" t="str">
        <f>"ELEIP-6SW7-K"</f>
        <v>ELEIP-6SW7-K</v>
      </c>
      <c r="B342" t="str">
        <f>"ELEIP, Einbaudownlight eckig, COB LED 6W, 2700K, starr, alu matt"</f>
        <v>ELEIP, Einbaudownlight eckig, COB LED 6W, 2700K, starr, alu matt</v>
      </c>
      <c r="C342" t="str">
        <f t="shared" si="14"/>
        <v>81</v>
      </c>
      <c r="D342" s="1">
        <v>47</v>
      </c>
    </row>
    <row r="343" spans="1:4" x14ac:dyDescent="0.25">
      <c r="A343" t="str">
        <f>"ELEIP-6WW1-K"</f>
        <v>ELEIP-6WW1-K</v>
      </c>
      <c r="B343" t="str">
        <f>"ELEIP, Einbaudownlight eckig, COB LED 6W, 3000K, starr, weiss"</f>
        <v>ELEIP, Einbaudownlight eckig, COB LED 6W, 3000K, starr, weiss</v>
      </c>
      <c r="C343" t="str">
        <f t="shared" si="14"/>
        <v>81</v>
      </c>
      <c r="D343" s="1">
        <v>47</v>
      </c>
    </row>
    <row r="344" spans="1:4" x14ac:dyDescent="0.25">
      <c r="A344" t="str">
        <f>"ELEIP-6WW7-K"</f>
        <v>ELEIP-6WW7-K</v>
      </c>
      <c r="B344" t="str">
        <f>"ELEIP, Einaudownlight eckig, COB LED 6W, 3000K, starr, alu matt"</f>
        <v>ELEIP, Einaudownlight eckig, COB LED 6W, 3000K, starr, alu matt</v>
      </c>
      <c r="C344" t="str">
        <f t="shared" si="14"/>
        <v>81</v>
      </c>
      <c r="D344" s="1">
        <v>47</v>
      </c>
    </row>
    <row r="345" spans="1:4" x14ac:dyDescent="0.25">
      <c r="A345" t="str">
        <f>"ELES-6NW1-K"</f>
        <v>ELES-6NW1-K</v>
      </c>
      <c r="B345" t="str">
        <f>"ELES, Einaudownlight eckig, COB LED 6W, 4000K, schwenkbar, weiss"</f>
        <v>ELES, Einaudownlight eckig, COB LED 6W, 4000K, schwenkbar, weiss</v>
      </c>
      <c r="C345" t="str">
        <f t="shared" si="14"/>
        <v>81</v>
      </c>
      <c r="D345" s="1">
        <v>44</v>
      </c>
    </row>
    <row r="346" spans="1:4" x14ac:dyDescent="0.25">
      <c r="A346" t="str">
        <f>"ELES-6NW7-K"</f>
        <v>ELES-6NW7-K</v>
      </c>
      <c r="B346" t="str">
        <f>"ELES, Einaudownlight eckig, COB LED 6W, 4000K, schwenkbar, alu matt"</f>
        <v>ELES, Einaudownlight eckig, COB LED 6W, 4000K, schwenkbar, alu matt</v>
      </c>
      <c r="C346" t="str">
        <f t="shared" si="14"/>
        <v>81</v>
      </c>
      <c r="D346" s="1">
        <v>44</v>
      </c>
    </row>
    <row r="347" spans="1:4" x14ac:dyDescent="0.25">
      <c r="A347" t="str">
        <f>"ELES-6SW1-K"</f>
        <v>ELES-6SW1-K</v>
      </c>
      <c r="B347" t="str">
        <f>"ELES, Einaudownlight eckig, COB LED 6W, 2700K, schwenkbar, weiss"</f>
        <v>ELES, Einaudownlight eckig, COB LED 6W, 2700K, schwenkbar, weiss</v>
      </c>
      <c r="C347" t="str">
        <f t="shared" si="14"/>
        <v>81</v>
      </c>
      <c r="D347" s="1">
        <v>44</v>
      </c>
    </row>
    <row r="348" spans="1:4" x14ac:dyDescent="0.25">
      <c r="A348" t="str">
        <f>"ELES-6SW7-K"</f>
        <v>ELES-6SW7-K</v>
      </c>
      <c r="B348" t="str">
        <f>"ELES, Einaudownlight eckig, COB LED 6W, 2700K, schwenkbar, alu matt"</f>
        <v>ELES, Einaudownlight eckig, COB LED 6W, 2700K, schwenkbar, alu matt</v>
      </c>
      <c r="C348" t="str">
        <f t="shared" si="14"/>
        <v>81</v>
      </c>
      <c r="D348" s="1">
        <v>44</v>
      </c>
    </row>
    <row r="349" spans="1:4" x14ac:dyDescent="0.25">
      <c r="A349" t="str">
        <f>"ELES-6WW1-K"</f>
        <v>ELES-6WW1-K</v>
      </c>
      <c r="B349" t="str">
        <f>"ELES, Einbaudownlight eckig, COB LED 6W, 3000K, schwenkbar, weiß"</f>
        <v>ELES, Einbaudownlight eckig, COB LED 6W, 3000K, schwenkbar, weiß</v>
      </c>
      <c r="C349" t="str">
        <f t="shared" si="14"/>
        <v>81</v>
      </c>
      <c r="D349" s="1">
        <v>44</v>
      </c>
    </row>
    <row r="350" spans="1:4" x14ac:dyDescent="0.25">
      <c r="A350" t="str">
        <f>"ELES-6WW7-K"</f>
        <v>ELES-6WW7-K</v>
      </c>
      <c r="B350" t="str">
        <f>"ELES, Einbaudownlight eckig, COB LED 6W, 3000K, schwenkbar, alu matt"</f>
        <v>ELES, Einbaudownlight eckig, COB LED 6W, 3000K, schwenkbar, alu matt</v>
      </c>
      <c r="C350" t="str">
        <f t="shared" si="14"/>
        <v>81</v>
      </c>
      <c r="D350" s="1">
        <v>44</v>
      </c>
    </row>
    <row r="351" spans="1:4" x14ac:dyDescent="0.25">
      <c r="A351" t="str">
        <f>"ELKN-8NW1"</f>
        <v>ELKN-8NW1</v>
      </c>
      <c r="B351" t="str">
        <f>"ELKN, Einbaudownlight rund, COB LED 8W, 4000K, schwenkbar 30°, weiss"</f>
        <v>ELKN, Einbaudownlight rund, COB LED 8W, 4000K, schwenkbar 30°, weiss</v>
      </c>
      <c r="C351" t="str">
        <f>"79"</f>
        <v>79</v>
      </c>
      <c r="D351" s="1">
        <v>36</v>
      </c>
    </row>
    <row r="352" spans="1:4" x14ac:dyDescent="0.25">
      <c r="A352" t="str">
        <f>"ELKN-8SW1"</f>
        <v>ELKN-8SW1</v>
      </c>
      <c r="B352" t="str">
        <f>"ELK, Einbaudownlight rund, COB LED 8W, 2700K, schwenkbar 30°, weiss"</f>
        <v>ELK, Einbaudownlight rund, COB LED 8W, 2700K, schwenkbar 30°, weiss</v>
      </c>
      <c r="C352" t="str">
        <f>"79"</f>
        <v>79</v>
      </c>
      <c r="D352" s="1">
        <v>36</v>
      </c>
    </row>
    <row r="353" spans="1:4" x14ac:dyDescent="0.25">
      <c r="A353" t="str">
        <f>"ELKN-8WW1"</f>
        <v>ELKN-8WW1</v>
      </c>
      <c r="B353" t="str">
        <f>"ELK, Einbaudownlight rund, COB LED 8W, 3000K, schwenkbar 30°, weiss"</f>
        <v>ELK, Einbaudownlight rund, COB LED 8W, 3000K, schwenkbar 30°, weiss</v>
      </c>
      <c r="C353" t="str">
        <f>"79"</f>
        <v>79</v>
      </c>
      <c r="D353" s="1">
        <v>36</v>
      </c>
    </row>
    <row r="354" spans="1:4" x14ac:dyDescent="0.25">
      <c r="A354" t="str">
        <f>"ELRE-40SW1"</f>
        <v>ELRE-40SW1</v>
      </c>
      <c r="B354" t="str">
        <f>"ELRE, Einbauleuchte, CoB LED 40W, 2700K, Rahmen weiß"</f>
        <v>ELRE, Einbauleuchte, CoB LED 40W, 2700K, Rahmen weiß</v>
      </c>
      <c r="C354" t="str">
        <f>"71"</f>
        <v>71</v>
      </c>
      <c r="D354" s="1">
        <v>200</v>
      </c>
    </row>
    <row r="355" spans="1:4" x14ac:dyDescent="0.25">
      <c r="A355" t="str">
        <f>"ELRE-40WW1"</f>
        <v>ELRE-40WW1</v>
      </c>
      <c r="B355" t="str">
        <f>"ELRE, Einbauleuchte, CoB LED 40W, 3000K, Rahmen weiss"</f>
        <v>ELRE, Einbauleuchte, CoB LED 40W, 3000K, Rahmen weiss</v>
      </c>
      <c r="C355" t="str">
        <f>"71"</f>
        <v>71</v>
      </c>
      <c r="D355" s="1">
        <v>200</v>
      </c>
    </row>
    <row r="356" spans="1:4" x14ac:dyDescent="0.25">
      <c r="A356" t="str">
        <f>"ELRIP-6NW1-K"</f>
        <v>ELRIP-6NW1-K</v>
      </c>
      <c r="B356" t="str">
        <f>"ELRIP, Einaudownlight rund, COB LED 6W,4000K, starr, weiss"</f>
        <v>ELRIP, Einaudownlight rund, COB LED 6W,4000K, starr, weiss</v>
      </c>
      <c r="C356" t="str">
        <f t="shared" ref="C356:C361" si="15">"81"</f>
        <v>81</v>
      </c>
      <c r="D356" s="1">
        <v>47</v>
      </c>
    </row>
    <row r="357" spans="1:4" x14ac:dyDescent="0.25">
      <c r="A357" t="str">
        <f>"ELRIP-6NW7-K"</f>
        <v>ELRIP-6NW7-K</v>
      </c>
      <c r="B357" t="str">
        <f>"ELRIP, Einaudownlight rund, COB LED 6W, 4000K, starr, alu matt"</f>
        <v>ELRIP, Einaudownlight rund, COB LED 6W, 4000K, starr, alu matt</v>
      </c>
      <c r="C357" t="str">
        <f t="shared" si="15"/>
        <v>81</v>
      </c>
      <c r="D357" s="1">
        <v>47</v>
      </c>
    </row>
    <row r="358" spans="1:4" x14ac:dyDescent="0.25">
      <c r="A358" t="str">
        <f>"ELRIP-6SW1-K"</f>
        <v>ELRIP-6SW1-K</v>
      </c>
      <c r="B358" t="str">
        <f>"ELRIP, Einaudownlight rund, COB LED 6W, 2700K, starr, weiss"</f>
        <v>ELRIP, Einaudownlight rund, COB LED 6W, 2700K, starr, weiss</v>
      </c>
      <c r="C358" t="str">
        <f t="shared" si="15"/>
        <v>81</v>
      </c>
      <c r="D358" s="1">
        <v>47</v>
      </c>
    </row>
    <row r="359" spans="1:4" x14ac:dyDescent="0.25">
      <c r="A359" t="str">
        <f>"ELRIP-6SW7-K"</f>
        <v>ELRIP-6SW7-K</v>
      </c>
      <c r="B359" t="str">
        <f>"ELRIP, Einaudownlight rund, COB LED 6W, 2700K, starr, alu matt"</f>
        <v>ELRIP, Einaudownlight rund, COB LED 6W, 2700K, starr, alu matt</v>
      </c>
      <c r="C359" t="str">
        <f t="shared" si="15"/>
        <v>81</v>
      </c>
      <c r="D359" s="1">
        <v>47</v>
      </c>
    </row>
    <row r="360" spans="1:4" x14ac:dyDescent="0.25">
      <c r="A360" t="str">
        <f>"ELRIP-6WW1-K"</f>
        <v>ELRIP-6WW1-K</v>
      </c>
      <c r="B360" t="str">
        <f>"ELRIP, Einaudownlight rund, COB LED 6W, 3000K, starr, weiss"</f>
        <v>ELRIP, Einaudownlight rund, COB LED 6W, 3000K, starr, weiss</v>
      </c>
      <c r="C360" t="str">
        <f t="shared" si="15"/>
        <v>81</v>
      </c>
      <c r="D360" s="1">
        <v>47</v>
      </c>
    </row>
    <row r="361" spans="1:4" x14ac:dyDescent="0.25">
      <c r="A361" t="str">
        <f>"ELRIP-6WW7-K"</f>
        <v>ELRIP-6WW7-K</v>
      </c>
      <c r="B361" t="str">
        <f>"ELRIP, Einaudownlight rund, COB LED 6W, 3000K, starr, alu matt"</f>
        <v>ELRIP, Einaudownlight rund, COB LED 6W, 3000K, starr, alu matt</v>
      </c>
      <c r="C361" t="str">
        <f t="shared" si="15"/>
        <v>81</v>
      </c>
      <c r="D361" s="1">
        <v>47</v>
      </c>
    </row>
    <row r="362" spans="1:4" x14ac:dyDescent="0.25">
      <c r="A362" t="str">
        <f>"ELRN-AR"</f>
        <v>ELRN-AR</v>
      </c>
      <c r="B362" t="str">
        <f>"ELRN, Aufbaurahmen, alumatt "</f>
        <v xml:space="preserve">ELRN, Aufbaurahmen, alumatt </v>
      </c>
      <c r="C362" t="str">
        <f>"83"</f>
        <v>83</v>
      </c>
      <c r="D362" s="1">
        <v>4.5</v>
      </c>
    </row>
    <row r="363" spans="1:4" x14ac:dyDescent="0.25">
      <c r="A363" t="str">
        <f>"ELRN-3WW7-K"</f>
        <v>ELRN-3WW7-K</v>
      </c>
      <c r="B363" t="str">
        <f>"ELRN, Einbauspot rund, LED 4,5W, 3000K, alumatt"</f>
        <v>ELRN, Einbauspot rund, LED 4,5W, 3000K, alumatt</v>
      </c>
      <c r="C363" t="str">
        <f>"83"</f>
        <v>83</v>
      </c>
      <c r="D363" s="1">
        <v>38</v>
      </c>
    </row>
    <row r="364" spans="1:4" x14ac:dyDescent="0.25">
      <c r="A364" t="str">
        <f>"ELRS-6NW1-K"</f>
        <v>ELRS-6NW1-K</v>
      </c>
      <c r="B364" t="str">
        <f>"ELRS, Einbaudownlight rund, COB LED 6W, 4000K, schwenkbar, weiss"</f>
        <v>ELRS, Einbaudownlight rund, COB LED 6W, 4000K, schwenkbar, weiss</v>
      </c>
      <c r="C364" t="str">
        <f t="shared" ref="C364:C369" si="16">"81"</f>
        <v>81</v>
      </c>
      <c r="D364" s="1">
        <v>44</v>
      </c>
    </row>
    <row r="365" spans="1:4" x14ac:dyDescent="0.25">
      <c r="A365" t="str">
        <f>"ELRS-6NW7-K"</f>
        <v>ELRS-6NW7-K</v>
      </c>
      <c r="B365" t="str">
        <f>"ELRS, Einbaudownlight rund, COB LED 6W, 4000K, schwenkbar, alu matt"</f>
        <v>ELRS, Einbaudownlight rund, COB LED 6W, 4000K, schwenkbar, alu matt</v>
      </c>
      <c r="C365" t="str">
        <f t="shared" si="16"/>
        <v>81</v>
      </c>
      <c r="D365" s="1">
        <v>44</v>
      </c>
    </row>
    <row r="366" spans="1:4" x14ac:dyDescent="0.25">
      <c r="A366" t="str">
        <f>"ELRS-6SW1-K"</f>
        <v>ELRS-6SW1-K</v>
      </c>
      <c r="B366" t="str">
        <f>"ELRS, Einbaudownlight rund, COB LED 6W, 2700K, schwenkbar, weiss"</f>
        <v>ELRS, Einbaudownlight rund, COB LED 6W, 2700K, schwenkbar, weiss</v>
      </c>
      <c r="C366" t="str">
        <f t="shared" si="16"/>
        <v>81</v>
      </c>
      <c r="D366" s="1">
        <v>44</v>
      </c>
    </row>
    <row r="367" spans="1:4" x14ac:dyDescent="0.25">
      <c r="A367" t="str">
        <f>"ELRS-6SW7-K"</f>
        <v>ELRS-6SW7-K</v>
      </c>
      <c r="B367" t="str">
        <f>"ELRS, Einbaudownlight rund, COB LED 6W, 2700K, schwenkbar, alu matt"</f>
        <v>ELRS, Einbaudownlight rund, COB LED 6W, 2700K, schwenkbar, alu matt</v>
      </c>
      <c r="C367" t="str">
        <f t="shared" si="16"/>
        <v>81</v>
      </c>
      <c r="D367" s="1">
        <v>44</v>
      </c>
    </row>
    <row r="368" spans="1:4" x14ac:dyDescent="0.25">
      <c r="A368" t="str">
        <f>"ELRS-6WW1-K"</f>
        <v>ELRS-6WW1-K</v>
      </c>
      <c r="B368" t="str">
        <f>"ELRS, Einbaudownlight rund, COB LED 6W, 3000K, schwenkbar, weiss"</f>
        <v>ELRS, Einbaudownlight rund, COB LED 6W, 3000K, schwenkbar, weiss</v>
      </c>
      <c r="C368" t="str">
        <f t="shared" si="16"/>
        <v>81</v>
      </c>
      <c r="D368" s="1">
        <v>44</v>
      </c>
    </row>
    <row r="369" spans="1:4" x14ac:dyDescent="0.25">
      <c r="A369" t="str">
        <f>"ELRS-6WW7-K"</f>
        <v>ELRS-6WW7-K</v>
      </c>
      <c r="B369" t="str">
        <f>"ELRS, Einbaudownlight rund, COB LED 6W, 3000K, schwenkbar, alu matt"</f>
        <v>ELRS, Einbaudownlight rund, COB LED 6W, 3000K, schwenkbar, alu matt</v>
      </c>
      <c r="C369" t="str">
        <f t="shared" si="16"/>
        <v>81</v>
      </c>
      <c r="D369" s="1">
        <v>44</v>
      </c>
    </row>
    <row r="370" spans="1:4" x14ac:dyDescent="0.25">
      <c r="A370" t="str">
        <f>"ENE-5005"</f>
        <v>ENE-5005</v>
      </c>
      <c r="B370" t="str">
        <f>"ENE, Einbauleuchte, eckig, QR-CBC-51, 50W, GX5,3, alu-gebürstet"</f>
        <v>ENE, Einbauleuchte, eckig, QR-CBC-51, 50W, GX5,3, alu-gebürstet</v>
      </c>
      <c r="C370" t="str">
        <f>"87"</f>
        <v>87</v>
      </c>
      <c r="D370" s="1">
        <v>20</v>
      </c>
    </row>
    <row r="371" spans="1:4" x14ac:dyDescent="0.25">
      <c r="A371" t="str">
        <f>"ENMB-6801"</f>
        <v>ENMB-6801</v>
      </c>
      <c r="B371" t="str">
        <f>"NV-Downlight, Gx5,3, rund, max. 50W, inkl. Blattfedern, weiß"</f>
        <v>NV-Downlight, Gx5,3, rund, max. 50W, inkl. Blattfedern, weiß</v>
      </c>
      <c r="C371" t="str">
        <f>"91"</f>
        <v>91</v>
      </c>
      <c r="D371" s="1">
        <v>9</v>
      </c>
    </row>
    <row r="372" spans="1:4" x14ac:dyDescent="0.25">
      <c r="A372" t="str">
        <f>"ENMB-6805"</f>
        <v>ENMB-6805</v>
      </c>
      <c r="B372" t="str">
        <f>"NV-Downlight, Gx5,3, rund, max. 50W, inkl. Blattfedern, chrom gebürstet"</f>
        <v>NV-Downlight, Gx5,3, rund, max. 50W, inkl. Blattfedern, chrom gebürstet</v>
      </c>
      <c r="C372" t="str">
        <f>"91"</f>
        <v>91</v>
      </c>
      <c r="D372" s="1">
        <v>10</v>
      </c>
    </row>
    <row r="373" spans="1:4" x14ac:dyDescent="0.25">
      <c r="A373" t="str">
        <f>"ENQN-6WW1"</f>
        <v>ENQN-6WW1</v>
      </c>
      <c r="B373" t="str">
        <f>"ENQN, Einbaudownlight eckig, LED 6W, 3000K, weiss"</f>
        <v>ENQN, Einbaudownlight eckig, LED 6W, 3000K, weiss</v>
      </c>
      <c r="C373" t="str">
        <f>"85"</f>
        <v>85</v>
      </c>
      <c r="D373" s="1">
        <v>37.5</v>
      </c>
    </row>
    <row r="374" spans="1:4" x14ac:dyDescent="0.25">
      <c r="A374" t="str">
        <f>"ENQN-6WW8"</f>
        <v>ENQN-6WW8</v>
      </c>
      <c r="B374" t="str">
        <f>"ENQN, Einbaudownlight eckig, LED 6W, 3000K, chrom liniert"</f>
        <v>ENQN, Einbaudownlight eckig, LED 6W, 3000K, chrom liniert</v>
      </c>
      <c r="C374" t="str">
        <f>"85"</f>
        <v>85</v>
      </c>
      <c r="D374" s="1">
        <v>37.5</v>
      </c>
    </row>
    <row r="375" spans="1:4" x14ac:dyDescent="0.25">
      <c r="A375" t="str">
        <f>"ENQ-5021"</f>
        <v>ENQ-5021</v>
      </c>
      <c r="B375" t="str">
        <f>"ENQ Downlight eckig, PAR16, max. 50W, GU10, weiss"</f>
        <v>ENQ Downlight eckig, PAR16, max. 50W, GU10, weiss</v>
      </c>
      <c r="C375" t="str">
        <f>"84"</f>
        <v>84</v>
      </c>
      <c r="D375" s="1">
        <v>25</v>
      </c>
    </row>
    <row r="376" spans="1:4" x14ac:dyDescent="0.25">
      <c r="A376" t="str">
        <f>"ENQ-5027"</f>
        <v>ENQ-5027</v>
      </c>
      <c r="B376" t="str">
        <f>"ENQ Downlight eckig, PAR16, max. 50W, GU10, alugrau"</f>
        <v>ENQ Downlight eckig, PAR16, max. 50W, GU10, alugrau</v>
      </c>
      <c r="C376" t="str">
        <f>"84"</f>
        <v>84</v>
      </c>
      <c r="D376" s="1">
        <v>25</v>
      </c>
    </row>
    <row r="377" spans="1:4" x14ac:dyDescent="0.25">
      <c r="A377" t="str">
        <f>"ENR-5005"</f>
        <v>ENR-5005</v>
      </c>
      <c r="B377" t="str">
        <f>"ENR, Einbauleuchte, rund, QR-CBC-51, 50W, GX5,3, alu natur"</f>
        <v>ENR, Einbauleuchte, rund, QR-CBC-51, 50W, GX5,3, alu natur</v>
      </c>
      <c r="C377" t="str">
        <f>"87"</f>
        <v>87</v>
      </c>
      <c r="D377" s="1">
        <v>22.5</v>
      </c>
    </row>
    <row r="378" spans="1:4" x14ac:dyDescent="0.25">
      <c r="A378" t="str">
        <f>"ENR-5165F"</f>
        <v>ENR-5165F</v>
      </c>
      <c r="B378" t="str">
        <f>"ENR, Kardanisches Einbau-SET rund, Philips LED 5,5W 36° 827, GU10, alu-natur"</f>
        <v>ENR, Kardanisches Einbau-SET rund, Philips LED 5,5W 36° 827, GU10, alu-natur</v>
      </c>
      <c r="C378" t="str">
        <f>"87"</f>
        <v>87</v>
      </c>
      <c r="D378" s="1">
        <v>32.5</v>
      </c>
    </row>
    <row r="379" spans="1:4" x14ac:dyDescent="0.25">
      <c r="A379" t="str">
        <f>"ENY-6801"</f>
        <v>ENY-6801</v>
      </c>
      <c r="B379" t="str">
        <f>"ENY, NV-Einbaudownlight, QR-CBC-51, max. 50W, GX5,3, weiss"</f>
        <v>ENY, NV-Einbaudownlight, QR-CBC-51, max. 50W, GX5,3, weiss</v>
      </c>
      <c r="C379" t="str">
        <f t="shared" ref="C379:C387" si="17">"89"</f>
        <v>89</v>
      </c>
      <c r="D379" s="1">
        <v>8</v>
      </c>
    </row>
    <row r="380" spans="1:4" x14ac:dyDescent="0.25">
      <c r="A380" t="str">
        <f>"ENY-6802"</f>
        <v>ENY-6802</v>
      </c>
      <c r="B380" t="str">
        <f>"ENY, NV-Einbaudownlight, QR-CBC-51, max. 50W, GX5,3, schwarz"</f>
        <v>ENY, NV-Einbaudownlight, QR-CBC-51, max. 50W, GX5,3, schwarz</v>
      </c>
      <c r="C380" t="str">
        <f t="shared" si="17"/>
        <v>89</v>
      </c>
      <c r="D380" s="1">
        <v>8</v>
      </c>
    </row>
    <row r="381" spans="1:4" x14ac:dyDescent="0.25">
      <c r="A381" t="str">
        <f>"ENY-6803"</f>
        <v>ENY-6803</v>
      </c>
      <c r="B381" t="str">
        <f>"ENY, NV-Einbaudownlight, QR-CBC-51, max. 50W, GX5,3, chrom glanz"</f>
        <v>ENY, NV-Einbaudownlight, QR-CBC-51, max. 50W, GX5,3, chrom glanz</v>
      </c>
      <c r="C381" t="str">
        <f t="shared" si="17"/>
        <v>89</v>
      </c>
      <c r="D381" s="1">
        <v>9</v>
      </c>
    </row>
    <row r="382" spans="1:4" x14ac:dyDescent="0.25">
      <c r="A382" t="str">
        <f>"ENY-6805"</f>
        <v>ENY-6805</v>
      </c>
      <c r="B382" t="str">
        <f>"ENY, NV-Einbaudownlight, QR-CBC-51, max. 50W, GX5,3, chrom gebürstet"</f>
        <v>ENY, NV-Einbaudownlight, QR-CBC-51, max. 50W, GX5,3, chrom gebürstet</v>
      </c>
      <c r="C382" t="str">
        <f t="shared" si="17"/>
        <v>89</v>
      </c>
      <c r="D382" s="1">
        <v>9</v>
      </c>
    </row>
    <row r="383" spans="1:4" x14ac:dyDescent="0.25">
      <c r="A383" t="str">
        <f>"ENY-6807"</f>
        <v>ENY-6807</v>
      </c>
      <c r="B383" t="str">
        <f>"ENY, NV-Einbaudownlight, QR-CBC-51, max. 50W, GX5,3, alumatt"</f>
        <v>ENY, NV-Einbaudownlight, QR-CBC-51, max. 50W, GX5,3, alumatt</v>
      </c>
      <c r="C383" t="str">
        <f t="shared" si="17"/>
        <v>89</v>
      </c>
      <c r="D383" s="1">
        <v>9</v>
      </c>
    </row>
    <row r="384" spans="1:4" x14ac:dyDescent="0.25">
      <c r="A384" t="str">
        <f>"ENY-6871F"</f>
        <v>ENY-6871F</v>
      </c>
      <c r="B384" t="str">
        <f>"ENY-SET, Einbaudownlight, Philips LED-Einsatz 5,5W 36° 827, weiss"</f>
        <v>ENY-SET, Einbaudownlight, Philips LED-Einsatz 5,5W 36° 827, weiss</v>
      </c>
      <c r="C384" t="str">
        <f t="shared" si="17"/>
        <v>89</v>
      </c>
      <c r="D384" s="1">
        <v>27.25</v>
      </c>
    </row>
    <row r="385" spans="1:4" x14ac:dyDescent="0.25">
      <c r="A385" t="str">
        <f>"ENY-6873F"</f>
        <v>ENY-6873F</v>
      </c>
      <c r="B385" t="str">
        <f>"ENY-SET, Einbaudownlight, Philips LED-Einsatz 5,5W 36° 827, chrom glanz"</f>
        <v>ENY-SET, Einbaudownlight, Philips LED-Einsatz 5,5W 36° 827, chrom glanz</v>
      </c>
      <c r="C385" t="str">
        <f t="shared" si="17"/>
        <v>89</v>
      </c>
      <c r="D385" s="1">
        <v>27.25</v>
      </c>
    </row>
    <row r="386" spans="1:4" x14ac:dyDescent="0.25">
      <c r="A386" t="str">
        <f>"ENY-6875F"</f>
        <v>ENY-6875F</v>
      </c>
      <c r="B386" t="str">
        <f>"ENY-SET, Einbaudownlight, Philips LED-Einsatz 5,5W 36° 827, chrom gebürstet"</f>
        <v>ENY-SET, Einbaudownlight, Philips LED-Einsatz 5,5W 36° 827, chrom gebürstet</v>
      </c>
      <c r="C386" t="str">
        <f t="shared" si="17"/>
        <v>89</v>
      </c>
      <c r="D386" s="1">
        <v>27.25</v>
      </c>
    </row>
    <row r="387" spans="1:4" x14ac:dyDescent="0.25">
      <c r="A387" t="str">
        <f>"ENY-6877F"</f>
        <v>ENY-6877F</v>
      </c>
      <c r="B387" t="str">
        <f>"ENY-SET, Einbaudownlight, Philips LED-Einsatz 5,5W 36° 827, alu matt"</f>
        <v>ENY-SET, Einbaudownlight, Philips LED-Einsatz 5,5W 36° 827, alu matt</v>
      </c>
      <c r="C387" t="str">
        <f t="shared" si="17"/>
        <v>89</v>
      </c>
      <c r="D387" s="1">
        <v>27.25</v>
      </c>
    </row>
    <row r="388" spans="1:4" x14ac:dyDescent="0.25">
      <c r="A388" t="str">
        <f>"ENZ-5001"</f>
        <v>ENZ-5001</v>
      </c>
      <c r="B388" t="str">
        <f>"ENZ, NV-Downlight, QR-CBC-51, max. 50W, GX5,3, weiss"</f>
        <v>ENZ, NV-Downlight, QR-CBC-51, max. 50W, GX5,3, weiss</v>
      </c>
      <c r="C388" t="str">
        <f>"93"</f>
        <v>93</v>
      </c>
      <c r="D388" s="1">
        <v>5.5</v>
      </c>
    </row>
    <row r="389" spans="1:4" x14ac:dyDescent="0.25">
      <c r="A389" t="str">
        <f>"ENZ-5003"</f>
        <v>ENZ-5003</v>
      </c>
      <c r="B389" t="str">
        <f>"ENZ, NV-Downlight, QR-CBC-51, max. 50W, GX5,3, chrom"</f>
        <v>ENZ, NV-Downlight, QR-CBC-51, max. 50W, GX5,3, chrom</v>
      </c>
      <c r="C389" t="str">
        <f>"93"</f>
        <v>93</v>
      </c>
      <c r="D389" s="1">
        <v>6.5</v>
      </c>
    </row>
    <row r="390" spans="1:4" x14ac:dyDescent="0.25">
      <c r="A390" t="str">
        <f>"ENZ-5005"</f>
        <v>ENZ-5005</v>
      </c>
      <c r="B390" t="str">
        <f>"ENZ, NV-Downlight, QR-CBC-51, max. 50W, GX5,3, chrom gebürstet"</f>
        <v>ENZ, NV-Downlight, QR-CBC-51, max. 50W, GX5,3, chrom gebürstet</v>
      </c>
      <c r="C390" t="str">
        <f>"93"</f>
        <v>93</v>
      </c>
      <c r="D390" s="1">
        <v>6.5</v>
      </c>
    </row>
    <row r="391" spans="1:4" x14ac:dyDescent="0.25">
      <c r="A391" t="str">
        <f>"ENZ-5007"</f>
        <v>ENZ-5007</v>
      </c>
      <c r="B391" t="str">
        <f>"ENZ, NV-Downlight, QR-CBC-51, max. 50W, GX5,3, alumatt"</f>
        <v>ENZ, NV-Downlight, QR-CBC-51, max. 50W, GX5,3, alumatt</v>
      </c>
      <c r="C391" t="str">
        <f>"93"</f>
        <v>93</v>
      </c>
      <c r="D391" s="1">
        <v>6.5</v>
      </c>
    </row>
    <row r="392" spans="1:4" x14ac:dyDescent="0.25">
      <c r="A392" t="str">
        <f>"ERO-15WWSCW1"</f>
        <v>ERO-15WWSCW1</v>
      </c>
      <c r="B392" t="str">
        <f>"ERO, Einbaudownlight, LED 15W, 350mA, CRI80, 3000K"</f>
        <v>ERO, Einbaudownlight, LED 15W, 350mA, CRI80, 3000K</v>
      </c>
      <c r="C392" t="str">
        <f>"61"</f>
        <v>61</v>
      </c>
      <c r="D392" s="1">
        <v>50</v>
      </c>
    </row>
    <row r="393" spans="1:4" x14ac:dyDescent="0.25">
      <c r="A393" t="str">
        <f>"ERO-18WWSCW1"</f>
        <v>ERO-18WWSCW1</v>
      </c>
      <c r="B393" t="str">
        <f>"ERO, Einbaudownlight, LED 18W, 430mA, CRI80, 3000K"</f>
        <v>ERO, Einbaudownlight, LED 18W, 430mA, CRI80, 3000K</v>
      </c>
      <c r="C393" t="str">
        <f>"61"</f>
        <v>61</v>
      </c>
      <c r="D393" s="1">
        <v>62.5</v>
      </c>
    </row>
    <row r="394" spans="1:4" x14ac:dyDescent="0.25">
      <c r="A394" t="str">
        <f>"ERO-25WWSCW1"</f>
        <v>ERO-25WWSCW1</v>
      </c>
      <c r="B394" t="str">
        <f>"ERO, Einbaudownlight, LED 25W, 600mA, CRI80, 3000K"</f>
        <v>ERO, Einbaudownlight, LED 25W, 600mA, CRI80, 3000K</v>
      </c>
      <c r="C394" t="str">
        <f>"61"</f>
        <v>61</v>
      </c>
      <c r="D394" s="1">
        <v>80</v>
      </c>
    </row>
    <row r="395" spans="1:4" x14ac:dyDescent="0.25">
      <c r="A395" t="str">
        <f>"EVAE-10NW1"</f>
        <v>EVAE-10NW1</v>
      </c>
      <c r="B395" t="str">
        <f>"EVA LED Downlight, 10W, 4000K, CRI&gt;80, eckig, weiß"</f>
        <v>EVA LED Downlight, 10W, 4000K, CRI&gt;80, eckig, weiß</v>
      </c>
      <c r="C395" t="str">
        <f t="shared" ref="C395:C400" si="18">"59"</f>
        <v>59</v>
      </c>
      <c r="D395" s="1">
        <v>40</v>
      </c>
    </row>
    <row r="396" spans="1:4" x14ac:dyDescent="0.25">
      <c r="A396" t="str">
        <f>"EVAE-10WW1"</f>
        <v>EVAE-10WW1</v>
      </c>
      <c r="B396" t="str">
        <f>"EVA LED Downlight, 10W, 3000K, CRI&gt;80, eckig, weiß"</f>
        <v>EVA LED Downlight, 10W, 3000K, CRI&gt;80, eckig, weiß</v>
      </c>
      <c r="C396" t="str">
        <f t="shared" si="18"/>
        <v>59</v>
      </c>
      <c r="D396" s="1">
        <v>40</v>
      </c>
    </row>
    <row r="397" spans="1:4" x14ac:dyDescent="0.25">
      <c r="A397" t="str">
        <f>"EVAE-18NW1D"</f>
        <v>EVAE-18NW1D</v>
      </c>
      <c r="B397" t="str">
        <f>"EVA LED Downlight, 19W, 4000K, CRI&gt;80, eckig, weiß"</f>
        <v>EVA LED Downlight, 19W, 4000K, CRI&gt;80, eckig, weiß</v>
      </c>
      <c r="C397" t="str">
        <f t="shared" si="18"/>
        <v>59</v>
      </c>
      <c r="D397" s="1">
        <v>75</v>
      </c>
    </row>
    <row r="398" spans="1:4" x14ac:dyDescent="0.25">
      <c r="A398" t="str">
        <f>"EVAE-18WW1D"</f>
        <v>EVAE-18WW1D</v>
      </c>
      <c r="B398" t="str">
        <f>"EVA LED Downlight, 17W, 3000K, CRI&gt;80, eckig, weiß"</f>
        <v>EVA LED Downlight, 17W, 3000K, CRI&gt;80, eckig, weiß</v>
      </c>
      <c r="C398" t="str">
        <f t="shared" si="18"/>
        <v>59</v>
      </c>
      <c r="D398" s="1">
        <v>75</v>
      </c>
    </row>
    <row r="399" spans="1:4" x14ac:dyDescent="0.25">
      <c r="A399" t="str">
        <f>"EVAE-25NW1D"</f>
        <v>EVAE-25NW1D</v>
      </c>
      <c r="B399" t="str">
        <f>"EVA LED Downlight, 25W, 4000K, CRI&gt;80, eckig, weiß"</f>
        <v>EVA LED Downlight, 25W, 4000K, CRI&gt;80, eckig, weiß</v>
      </c>
      <c r="C399" t="str">
        <f t="shared" si="18"/>
        <v>59</v>
      </c>
      <c r="D399" s="1">
        <v>96</v>
      </c>
    </row>
    <row r="400" spans="1:4" x14ac:dyDescent="0.25">
      <c r="A400" t="str">
        <f>"EVAE-25WW1"</f>
        <v>EVAE-25WW1</v>
      </c>
      <c r="B400" t="str">
        <f>"EVA LED Downlight, 25W, 3000K, CRI&gt;80, eckig, weiß"</f>
        <v>EVA LED Downlight, 25W, 3000K, CRI&gt;80, eckig, weiß</v>
      </c>
      <c r="C400" t="str">
        <f t="shared" si="18"/>
        <v>59</v>
      </c>
      <c r="D400" s="1">
        <v>69</v>
      </c>
    </row>
    <row r="401" spans="1:4" x14ac:dyDescent="0.25">
      <c r="A401" t="str">
        <f>"EVA-10NW1"</f>
        <v>EVA-10NW1</v>
      </c>
      <c r="B401" t="str">
        <f>"EVA LED Downlight, 10W, 4000K, CRI&gt;80, rund, weiß "</f>
        <v xml:space="preserve">EVA LED Downlight, 10W, 4000K, CRI&gt;80, rund, weiß </v>
      </c>
      <c r="C401" t="str">
        <f t="shared" ref="C401:C406" si="19">"57"</f>
        <v>57</v>
      </c>
      <c r="D401" s="1">
        <v>37.5</v>
      </c>
    </row>
    <row r="402" spans="1:4" x14ac:dyDescent="0.25">
      <c r="A402" t="str">
        <f>"EVA-10WW1"</f>
        <v>EVA-10WW1</v>
      </c>
      <c r="B402" t="str">
        <f>"EVA LED Downlight, 10W, 3000K, CRI&gt;80, rund, weiß  "</f>
        <v xml:space="preserve">EVA LED Downlight, 10W, 3000K, CRI&gt;80, rund, weiß  </v>
      </c>
      <c r="C402" t="str">
        <f t="shared" si="19"/>
        <v>57</v>
      </c>
      <c r="D402" s="1">
        <v>37.5</v>
      </c>
    </row>
    <row r="403" spans="1:4" x14ac:dyDescent="0.25">
      <c r="A403" t="str">
        <f>"EVA-18NW1"</f>
        <v>EVA-18NW1</v>
      </c>
      <c r="B403" t="str">
        <f>"EVA LED Downlight, 19W, 4000K, CRI&gt;80, rund, weiß "</f>
        <v xml:space="preserve">EVA LED Downlight, 19W, 4000K, CRI&gt;80, rund, weiß </v>
      </c>
      <c r="C403" t="str">
        <f t="shared" si="19"/>
        <v>57</v>
      </c>
      <c r="D403" s="1">
        <v>56</v>
      </c>
    </row>
    <row r="404" spans="1:4" x14ac:dyDescent="0.25">
      <c r="A404" t="str">
        <f>"EVA-18WW1"</f>
        <v>EVA-18WW1</v>
      </c>
      <c r="B404" t="str">
        <f>"EVA LED Downlight, 18W, 3000K, CRI&gt;80, rund, weiß "</f>
        <v xml:space="preserve">EVA LED Downlight, 18W, 3000K, CRI&gt;80, rund, weiß </v>
      </c>
      <c r="C404" t="str">
        <f t="shared" si="19"/>
        <v>57</v>
      </c>
      <c r="D404" s="1">
        <v>56</v>
      </c>
    </row>
    <row r="405" spans="1:4" x14ac:dyDescent="0.25">
      <c r="A405" t="str">
        <f>"EVA-25NW1"</f>
        <v>EVA-25NW1</v>
      </c>
      <c r="B405" t="str">
        <f>"EVA LED Downlight, 25W, 4000K, CRI&gt;80, rund, weiß "</f>
        <v xml:space="preserve">EVA LED Downlight, 25W, 4000K, CRI&gt;80, rund, weiß </v>
      </c>
      <c r="C405" t="str">
        <f t="shared" si="19"/>
        <v>57</v>
      </c>
      <c r="D405" s="1">
        <v>75</v>
      </c>
    </row>
    <row r="406" spans="1:4" x14ac:dyDescent="0.25">
      <c r="A406" t="str">
        <f>"EVA-25WW1"</f>
        <v>EVA-25WW1</v>
      </c>
      <c r="B406" t="str">
        <f>"EVA LED Downlight, 25W, 3000K, CRI&gt;80, rund, weiß "</f>
        <v xml:space="preserve">EVA LED Downlight, 25W, 3000K, CRI&gt;80, rund, weiß </v>
      </c>
      <c r="C406" t="str">
        <f t="shared" si="19"/>
        <v>57</v>
      </c>
      <c r="D406" s="1">
        <v>75</v>
      </c>
    </row>
    <row r="407" spans="1:4" x14ac:dyDescent="0.25">
      <c r="A407" t="str">
        <f>"EWHL-1CW7"</f>
        <v>EWHL-1CW7</v>
      </c>
      <c r="B407" t="str">
        <f>"EWHL, Einbauleuchte, LED, 2W, kaltweiss, Rahmen alugrau"</f>
        <v>EWHL, Einbauleuchte, LED, 2W, kaltweiss, Rahmen alugrau</v>
      </c>
      <c r="C407" t="str">
        <f>"95"</f>
        <v>95</v>
      </c>
      <c r="D407" s="1">
        <v>70</v>
      </c>
    </row>
    <row r="408" spans="1:4" x14ac:dyDescent="0.25">
      <c r="A408" t="str">
        <f>"EWHL-1WW7"</f>
        <v>EWHL-1WW7</v>
      </c>
      <c r="B408" t="str">
        <f>"EWHL, Einbauleuchte, LED, 2W, warmweiß, Rahmen alugrau"</f>
        <v>EWHL, Einbauleuchte, LED, 2W, warmweiß, Rahmen alugrau</v>
      </c>
      <c r="C408" t="str">
        <f>"95"</f>
        <v>95</v>
      </c>
      <c r="D408" s="1">
        <v>70</v>
      </c>
    </row>
    <row r="409" spans="1:4" x14ac:dyDescent="0.25">
      <c r="A409" t="str">
        <f>"FLEXYIP1-300NW-CRI90"</f>
        <v>FLEXYIP1-300NW-CRI90</v>
      </c>
      <c r="B409" t="str">
        <f>"FLEXY IP67, LED-FLEX-MODUL, 5m, 300 LED, 4000K"</f>
        <v>FLEXY IP67, LED-FLEX-MODUL, 5m, 300 LED, 4000K</v>
      </c>
      <c r="C409" t="str">
        <f t="shared" ref="C409:C434" si="20">"121"</f>
        <v>121</v>
      </c>
      <c r="D409" s="1">
        <v>88</v>
      </c>
    </row>
    <row r="410" spans="1:4" x14ac:dyDescent="0.25">
      <c r="A410" t="str">
        <f>"FLEXYIP1-300SW-CRI90"</f>
        <v>FLEXYIP1-300SW-CRI90</v>
      </c>
      <c r="B410" t="str">
        <f>"FLEXY IP67, LED-FLEX-MODUL, 5m, 300 LED, 2700K"</f>
        <v>FLEXY IP67, LED-FLEX-MODUL, 5m, 300 LED, 2700K</v>
      </c>
      <c r="C410" t="str">
        <f t="shared" si="20"/>
        <v>121</v>
      </c>
      <c r="D410" s="1">
        <v>88</v>
      </c>
    </row>
    <row r="411" spans="1:4" x14ac:dyDescent="0.25">
      <c r="A411" t="str">
        <f>"FLEXYIP1-300WW-CRI90"</f>
        <v>FLEXYIP1-300WW-CRI90</v>
      </c>
      <c r="B411" t="str">
        <f>"FLEXY IP67, LED-FLEX-MODUL, 5m, 300 LED, 3000K"</f>
        <v>FLEXY IP67, LED-FLEX-MODUL, 5m, 300 LED, 3000K</v>
      </c>
      <c r="C411" t="str">
        <f t="shared" si="20"/>
        <v>121</v>
      </c>
      <c r="D411" s="1">
        <v>88</v>
      </c>
    </row>
    <row r="412" spans="1:4" x14ac:dyDescent="0.25">
      <c r="A412" t="str">
        <f>"FLEXYIP2-600NW-CRI90"</f>
        <v>FLEXYIP2-600NW-CRI90</v>
      </c>
      <c r="B412" t="str">
        <f>"FLEXY IP54, LED-FLEX-MODUL, 5m, 600 LED´s, 4000K"</f>
        <v>FLEXY IP54, LED-FLEX-MODUL, 5m, 600 LED´s, 4000K</v>
      </c>
      <c r="C412" t="str">
        <f t="shared" si="20"/>
        <v>121</v>
      </c>
      <c r="D412" s="1">
        <v>88</v>
      </c>
    </row>
    <row r="413" spans="1:4" x14ac:dyDescent="0.25">
      <c r="A413" t="str">
        <f>"FLEXYIP2-600SW-CRI90"</f>
        <v>FLEXYIP2-600SW-CRI90</v>
      </c>
      <c r="B413" t="str">
        <f>"FLEXY IP54, LED-FLEX-MODUL, 5m, 600 LED´s, 2700K"</f>
        <v>FLEXY IP54, LED-FLEX-MODUL, 5m, 600 LED´s, 2700K</v>
      </c>
      <c r="C413" t="str">
        <f t="shared" si="20"/>
        <v>121</v>
      </c>
      <c r="D413" s="1">
        <v>88</v>
      </c>
    </row>
    <row r="414" spans="1:4" x14ac:dyDescent="0.25">
      <c r="A414" t="str">
        <f>"FLEXYIP2-600WW-CRI90"</f>
        <v>FLEXYIP2-600WW-CRI90</v>
      </c>
      <c r="B414" t="str">
        <f>"FLEXY IP54, LED-FLEX-MODUL, 5m, 600 LED´s, 3000K"</f>
        <v>FLEXY IP54, LED-FLEX-MODUL, 5m, 600 LED´s, 3000K</v>
      </c>
      <c r="C414" t="str">
        <f t="shared" si="20"/>
        <v>121</v>
      </c>
      <c r="D414" s="1">
        <v>88</v>
      </c>
    </row>
    <row r="415" spans="1:4" x14ac:dyDescent="0.25">
      <c r="A415" t="str">
        <f>"FLEXYIP9-700NW"</f>
        <v>FLEXYIP9-700NW</v>
      </c>
      <c r="B415" t="str">
        <f>"FLEXY, LED-FLEX-MODUL, 5m, 9,6W/M, 700 LED´s, 4000K "</f>
        <v xml:space="preserve">FLEXY, LED-FLEX-MODUL, 5m, 9,6W/M, 700 LED´s, 4000K </v>
      </c>
      <c r="C415" t="str">
        <f t="shared" si="20"/>
        <v>121</v>
      </c>
      <c r="D415" s="1">
        <v>120</v>
      </c>
    </row>
    <row r="416" spans="1:4" x14ac:dyDescent="0.25">
      <c r="A416" t="str">
        <f>"FLEXY1-300NW-CRI90"</f>
        <v>FLEXY1-300NW-CRI90</v>
      </c>
      <c r="B416" t="str">
        <f>"FLEXY, LED-FLEX-MODUL, 5m, 300 LED´s, 4000K"</f>
        <v>FLEXY, LED-FLEX-MODUL, 5m, 300 LED´s, 4000K</v>
      </c>
      <c r="C416" t="str">
        <f t="shared" si="20"/>
        <v>121</v>
      </c>
      <c r="D416" s="1">
        <v>45</v>
      </c>
    </row>
    <row r="417" spans="1:4" x14ac:dyDescent="0.25">
      <c r="A417" t="str">
        <f>"FLEXY1-300RGB"</f>
        <v>FLEXY1-300RGB</v>
      </c>
      <c r="B417" t="str">
        <f>"FLEXY, LED-FLEX-MODUL, 5m, 14,4W/M, 300 LED´s, RGB"</f>
        <v>FLEXY, LED-FLEX-MODUL, 5m, 14,4W/M, 300 LED´s, RGB</v>
      </c>
      <c r="C417" t="str">
        <f t="shared" si="20"/>
        <v>121</v>
      </c>
      <c r="D417" s="1">
        <v>72</v>
      </c>
    </row>
    <row r="418" spans="1:4" x14ac:dyDescent="0.25">
      <c r="A418" t="str">
        <f>"FLEXY1-300RGBW"</f>
        <v>FLEXY1-300RGBW</v>
      </c>
      <c r="B418" t="str">
        <f>"FLEXY, LED-FLEX-MODUL, 5m, 14,4W/M, 300 LED´s, RGBW 3000K"</f>
        <v>FLEXY, LED-FLEX-MODUL, 5m, 14,4W/M, 300 LED´s, RGBW 3000K</v>
      </c>
      <c r="C418" t="str">
        <f t="shared" si="20"/>
        <v>121</v>
      </c>
      <c r="D418" s="1">
        <v>109</v>
      </c>
    </row>
    <row r="419" spans="1:4" x14ac:dyDescent="0.25">
      <c r="A419" t="str">
        <f>"FLEXY1-300SW-CRI90"</f>
        <v>FLEXY1-300SW-CRI90</v>
      </c>
      <c r="B419" t="str">
        <f>"FLEXY, LED-FLEX-MODUL, 5m, 300 LED´s, 2700K "</f>
        <v xml:space="preserve">FLEXY, LED-FLEX-MODUL, 5m, 300 LED´s, 2700K </v>
      </c>
      <c r="C419" t="str">
        <f t="shared" si="20"/>
        <v>121</v>
      </c>
      <c r="D419" s="1">
        <v>45</v>
      </c>
    </row>
    <row r="420" spans="1:4" x14ac:dyDescent="0.25">
      <c r="A420" t="str">
        <f>"FLEXY1-300WW-CRI90"</f>
        <v>FLEXY1-300WW-CRI90</v>
      </c>
      <c r="B420" t="str">
        <f>"FLEXY, LED-FLEX-MODUL, 5m, 300 LED´s, 3000K "</f>
        <v xml:space="preserve">FLEXY, LED-FLEX-MODUL, 5m, 300 LED´s, 3000K </v>
      </c>
      <c r="C420" t="str">
        <f t="shared" si="20"/>
        <v>121</v>
      </c>
      <c r="D420" s="1">
        <v>45</v>
      </c>
    </row>
    <row r="421" spans="1:4" x14ac:dyDescent="0.25">
      <c r="A421" t="str">
        <f>"FLEXY2-600NW-CRI90"</f>
        <v>FLEXY2-600NW-CRI90</v>
      </c>
      <c r="B421" t="str">
        <f>"FLEXY, LED-FLEX-MODUL, 5m, 600 LED´s, 4000K "</f>
        <v xml:space="preserve">FLEXY, LED-FLEX-MODUL, 5m, 600 LED´s, 4000K </v>
      </c>
      <c r="C421" t="str">
        <f t="shared" si="20"/>
        <v>121</v>
      </c>
      <c r="D421" s="1">
        <v>60</v>
      </c>
    </row>
    <row r="422" spans="1:4" x14ac:dyDescent="0.25">
      <c r="A422" t="str">
        <f>"FLEXY2-600SW-CRI90"</f>
        <v>FLEXY2-600SW-CRI90</v>
      </c>
      <c r="B422" t="str">
        <f>"FLEXY, LED-FLEX-MODUL, 5m, 600 LED´s, 2700K"</f>
        <v>FLEXY, LED-FLEX-MODUL, 5m, 600 LED´s, 2700K</v>
      </c>
      <c r="C422" t="str">
        <f t="shared" si="20"/>
        <v>121</v>
      </c>
      <c r="D422" s="1">
        <v>60</v>
      </c>
    </row>
    <row r="423" spans="1:4" x14ac:dyDescent="0.25">
      <c r="A423" t="str">
        <f>"FLEXY2-600WW-CRI90"</f>
        <v>FLEXY2-600WW-CRI90</v>
      </c>
      <c r="B423" t="str">
        <f>"FLEXY, LED-FLEX-MODUL, 5m, 600 LED´s, 3000K"</f>
        <v>FLEXY, LED-FLEX-MODUL, 5m, 600 LED´s, 3000K</v>
      </c>
      <c r="C423" t="str">
        <f t="shared" si="20"/>
        <v>121</v>
      </c>
      <c r="D423" s="1">
        <v>60</v>
      </c>
    </row>
    <row r="424" spans="1:4" x14ac:dyDescent="0.25">
      <c r="A424" t="str">
        <f>"FLEXY-300CWN-CRI90"</f>
        <v>FLEXY-300CWN-CRI90</v>
      </c>
      <c r="B424" t="str">
        <f>"FLEXY LED-FLEX-MODUL, 5m, 300 LED´s, 6000-6500K"</f>
        <v>FLEXY LED-FLEX-MODUL, 5m, 300 LED´s, 6000-6500K</v>
      </c>
      <c r="C424" t="str">
        <f t="shared" si="20"/>
        <v>121</v>
      </c>
      <c r="D424" s="1">
        <v>43</v>
      </c>
    </row>
    <row r="425" spans="1:4" x14ac:dyDescent="0.25">
      <c r="A425" t="str">
        <f>"FLEXY-300WWN-CRI90"</f>
        <v>FLEXY-300WWN-CRI90</v>
      </c>
      <c r="B425" t="str">
        <f>"FLEXY LED-FLEX-MODUL, 5m, 300 LED´s, 2700-3500K"</f>
        <v>FLEXY LED-FLEX-MODUL, 5m, 300 LED´s, 2700-3500K</v>
      </c>
      <c r="C425" t="str">
        <f t="shared" si="20"/>
        <v>121</v>
      </c>
      <c r="D425" s="1">
        <v>43</v>
      </c>
    </row>
    <row r="426" spans="1:4" x14ac:dyDescent="0.25">
      <c r="A426" t="str">
        <f>"FLEXY3-1500NW"</f>
        <v>FLEXY3-1500NW</v>
      </c>
      <c r="B426" t="str">
        <f>"FLEXY, LED-FLEX-MODUL, 5m, 1500 LED, 4000-4200K"</f>
        <v>FLEXY, LED-FLEX-MODUL, 5m, 1500 LED, 4000-4200K</v>
      </c>
      <c r="C426" t="str">
        <f t="shared" si="20"/>
        <v>121</v>
      </c>
      <c r="D426" s="1">
        <v>108</v>
      </c>
    </row>
    <row r="427" spans="1:4" x14ac:dyDescent="0.25">
      <c r="A427" t="str">
        <f>"FLEXY3-1500SSW"</f>
        <v>FLEXY3-1500SSW</v>
      </c>
      <c r="B427" t="str">
        <f>"FLEXY, LED-FLEX-MODUL, 5m, 1500 LED, 2200-2400K"</f>
        <v>FLEXY, LED-FLEX-MODUL, 5m, 1500 LED, 2200-2400K</v>
      </c>
      <c r="C427" t="str">
        <f t="shared" si="20"/>
        <v>121</v>
      </c>
      <c r="D427" s="1">
        <v>108</v>
      </c>
    </row>
    <row r="428" spans="1:4" x14ac:dyDescent="0.25">
      <c r="A428" t="str">
        <f>"FLEXY3-1500SW"</f>
        <v>FLEXY3-1500SW</v>
      </c>
      <c r="B428" t="str">
        <f>"FLEXY, LED-FLEX-MODUL, 5m, 1500 LED, 2600-2800K"</f>
        <v>FLEXY, LED-FLEX-MODUL, 5m, 1500 LED, 2600-2800K</v>
      </c>
      <c r="C428" t="str">
        <f t="shared" si="20"/>
        <v>121</v>
      </c>
      <c r="D428" s="1">
        <v>108</v>
      </c>
    </row>
    <row r="429" spans="1:4" x14ac:dyDescent="0.25">
      <c r="A429" t="str">
        <f>"FLEXY3-1500WW"</f>
        <v>FLEXY3-1500WW</v>
      </c>
      <c r="B429" t="str">
        <f>"FLEXY, LED-FLEX-MODUL, 5m, 1500 LED, 2900-3100K"</f>
        <v>FLEXY, LED-FLEX-MODUL, 5m, 1500 LED, 2900-3100K</v>
      </c>
      <c r="C429" t="str">
        <f t="shared" si="20"/>
        <v>121</v>
      </c>
      <c r="D429" s="1">
        <v>108</v>
      </c>
    </row>
    <row r="430" spans="1:4" x14ac:dyDescent="0.25">
      <c r="A430" t="str">
        <f>"FLEXY6-1200SSWSCW"</f>
        <v>FLEXY6-1200SSWSCW</v>
      </c>
      <c r="B430" t="str">
        <f>"FLEXY, LED-FLEX-MODUL, 5m, 14,4W/M, 1200 LED´s, 2400-6500K"</f>
        <v>FLEXY, LED-FLEX-MODUL, 5m, 14,4W/M, 1200 LED´s, 2400-6500K</v>
      </c>
      <c r="C430" t="str">
        <f t="shared" si="20"/>
        <v>121</v>
      </c>
      <c r="D430" s="1">
        <v>87</v>
      </c>
    </row>
    <row r="431" spans="1:4" x14ac:dyDescent="0.25">
      <c r="A431" t="str">
        <f>"FLEXY7-700NW"</f>
        <v>FLEXY7-700NW</v>
      </c>
      <c r="B431" t="str">
        <f>"FLEXY, LED-FLEX-MODUL, 5m, 9,6W/M, 700 LED´s, 4000K "</f>
        <v xml:space="preserve">FLEXY, LED-FLEX-MODUL, 5m, 9,6W/M, 700 LED´s, 4000K </v>
      </c>
      <c r="C431" t="str">
        <f t="shared" si="20"/>
        <v>121</v>
      </c>
      <c r="D431" s="1">
        <v>54</v>
      </c>
    </row>
    <row r="432" spans="1:4" x14ac:dyDescent="0.25">
      <c r="A432" t="str">
        <f>"FLEXY7-700WW"</f>
        <v>FLEXY7-700WW</v>
      </c>
      <c r="B432" t="str">
        <f>"FLEXY, LED-FLEX-MODUL, 5m, 9,6W/M, 700 LED´s, 3000K "</f>
        <v xml:space="preserve">FLEXY, LED-FLEX-MODUL, 5m, 9,6W/M, 700 LED´s, 3000K </v>
      </c>
      <c r="C432" t="str">
        <f t="shared" si="20"/>
        <v>121</v>
      </c>
      <c r="D432" s="1">
        <v>54</v>
      </c>
    </row>
    <row r="433" spans="1:4" x14ac:dyDescent="0.25">
      <c r="A433" t="str">
        <f>"FLEXY8-2000NW"</f>
        <v>FLEXY8-2000NW</v>
      </c>
      <c r="B433" t="str">
        <f>"FLEXY, LED-FLEX-MODUL, 5m, 20W/M, 2000 LED´s, 4000K "</f>
        <v xml:space="preserve">FLEXY, LED-FLEX-MODUL, 5m, 20W/M, 2000 LED´s, 4000K </v>
      </c>
      <c r="C433" t="str">
        <f t="shared" si="20"/>
        <v>121</v>
      </c>
      <c r="D433" s="1">
        <v>108</v>
      </c>
    </row>
    <row r="434" spans="1:4" x14ac:dyDescent="0.25">
      <c r="A434" t="str">
        <f>"FLEXY8-2000WW"</f>
        <v>FLEXY8-2000WW</v>
      </c>
      <c r="B434" t="str">
        <f>"FLEXY, LED-FLEX-MODUL, 5m, 20W/M, 2000 LED´s, 3000K "</f>
        <v xml:space="preserve">FLEXY, LED-FLEX-MODUL, 5m, 20W/M, 2000 LED´s, 3000K </v>
      </c>
      <c r="C434" t="str">
        <f t="shared" si="20"/>
        <v>121</v>
      </c>
      <c r="D434" s="1">
        <v>108</v>
      </c>
    </row>
    <row r="435" spans="1:4" x14ac:dyDescent="0.25">
      <c r="A435" t="str">
        <f>"F-SERVPBM"</f>
        <v>F-SERVPBM</v>
      </c>
      <c r="B435" t="str">
        <f>"5308GR Bewegungsmelder für Server Point"</f>
        <v>5308GR Bewegungsmelder für Server Point</v>
      </c>
      <c r="C435" t="str">
        <f>"203"</f>
        <v>203</v>
      </c>
      <c r="D435" s="1">
        <v>123</v>
      </c>
    </row>
    <row r="436" spans="1:4" x14ac:dyDescent="0.25">
      <c r="A436" t="str">
        <f>"HAE-BA1000"</f>
        <v>HAE-BA1000</v>
      </c>
      <c r="B436" t="str">
        <f>"HIGHWAY, Aluminium Abdeckung, 1000 mm, eloxiert"</f>
        <v>HIGHWAY, Aluminium Abdeckung, 1000 mm, eloxiert</v>
      </c>
      <c r="C436" t="str">
        <f>"45"</f>
        <v>45</v>
      </c>
      <c r="D436" s="1">
        <v>10.75</v>
      </c>
    </row>
    <row r="437" spans="1:4" x14ac:dyDescent="0.25">
      <c r="A437" t="str">
        <f>"HAE-BA500"</f>
        <v>HAE-BA500</v>
      </c>
      <c r="B437" t="str">
        <f>"HIGHWAY, Aluminium Abdeckung, 500 mm, eloxiert"</f>
        <v>HIGHWAY, Aluminium Abdeckung, 500 mm, eloxiert</v>
      </c>
      <c r="C437" t="str">
        <f>"45"</f>
        <v>45</v>
      </c>
      <c r="D437" s="1">
        <v>7.25</v>
      </c>
    </row>
    <row r="438" spans="1:4" x14ac:dyDescent="0.25">
      <c r="A438" t="str">
        <f>"HAEG-1401"</f>
        <v>HAEG-1401</v>
      </c>
      <c r="B438" t="str">
        <f>"HIGHWAY, Leuchteneinsatz linear, 14W, EVG"</f>
        <v>HIGHWAY, Leuchteneinsatz linear, 14W, EVG</v>
      </c>
      <c r="C438" t="str">
        <f t="shared" ref="C438:C451" si="21">"46"</f>
        <v>46</v>
      </c>
      <c r="D438" s="1">
        <v>65</v>
      </c>
    </row>
    <row r="439" spans="1:4" x14ac:dyDescent="0.25">
      <c r="A439" t="str">
        <f>"HAEG-18NW1"</f>
        <v>HAEG-18NW1</v>
      </c>
      <c r="B439" t="str">
        <f>"HIGHWAY, Leuchteneinsatz linear, LED, 16W, 4000K, weiß"</f>
        <v>HIGHWAY, Leuchteneinsatz linear, LED, 16W, 4000K, weiß</v>
      </c>
      <c r="C439" t="str">
        <f t="shared" si="21"/>
        <v>46</v>
      </c>
      <c r="D439" s="1">
        <v>115</v>
      </c>
    </row>
    <row r="440" spans="1:4" x14ac:dyDescent="0.25">
      <c r="A440" t="str">
        <f>"HAEG-18SW1"</f>
        <v>HAEG-18SW1</v>
      </c>
      <c r="B440" t="str">
        <f>"HIGHWAY, Leuchteneinsatz linear, LED, 16W, 2700K, weiss"</f>
        <v>HIGHWAY, Leuchteneinsatz linear, LED, 16W, 2700K, weiss</v>
      </c>
      <c r="C440" t="str">
        <f t="shared" si="21"/>
        <v>46</v>
      </c>
      <c r="D440" s="1">
        <v>115</v>
      </c>
    </row>
    <row r="441" spans="1:4" x14ac:dyDescent="0.25">
      <c r="A441" t="str">
        <f>"HAEG-18WW1"</f>
        <v>HAEG-18WW1</v>
      </c>
      <c r="B441" t="str">
        <f>"HIGHWAY, Leuchteneinsatz linear, LED, 16W, 3000K, weiss"</f>
        <v>HIGHWAY, Leuchteneinsatz linear, LED, 16W, 3000K, weiss</v>
      </c>
      <c r="C441" t="str">
        <f t="shared" si="21"/>
        <v>46</v>
      </c>
      <c r="D441" s="1">
        <v>115</v>
      </c>
    </row>
    <row r="442" spans="1:4" x14ac:dyDescent="0.25">
      <c r="A442" t="str">
        <f>"HAEG-2101"</f>
        <v>HAEG-2101</v>
      </c>
      <c r="B442" t="str">
        <f>"HIGHWAY, Leuchteneinsatz linear, 21W, EVG"</f>
        <v>HIGHWAY, Leuchteneinsatz linear, 21W, EVG</v>
      </c>
      <c r="C442" t="str">
        <f t="shared" si="21"/>
        <v>46</v>
      </c>
      <c r="D442" s="1">
        <v>74.5</v>
      </c>
    </row>
    <row r="443" spans="1:4" x14ac:dyDescent="0.25">
      <c r="A443" t="str">
        <f>"HAEG-2401"</f>
        <v>HAEG-2401</v>
      </c>
      <c r="B443" t="str">
        <f>"HIGHWAY, Leuchteneinsatz linear, 24W, EVG"</f>
        <v>HIGHWAY, Leuchteneinsatz linear, 24W, EVG</v>
      </c>
      <c r="C443" t="str">
        <f t="shared" si="21"/>
        <v>46</v>
      </c>
      <c r="D443" s="1">
        <v>66.25</v>
      </c>
    </row>
    <row r="444" spans="1:4" x14ac:dyDescent="0.25">
      <c r="A444" t="str">
        <f>"HAEG-27NW1"</f>
        <v>HAEG-27NW1</v>
      </c>
      <c r="B444" t="str">
        <f>"HIGHWAY, Leuchteneinsatz linear, LED, 24W, 4000K, weiss"</f>
        <v>HIGHWAY, Leuchteneinsatz linear, LED, 24W, 4000K, weiss</v>
      </c>
      <c r="C444" t="str">
        <f t="shared" si="21"/>
        <v>46</v>
      </c>
      <c r="D444" s="1">
        <v>137.5</v>
      </c>
    </row>
    <row r="445" spans="1:4" x14ac:dyDescent="0.25">
      <c r="A445" t="str">
        <f>"HAEG-27SW1"</f>
        <v>HAEG-27SW1</v>
      </c>
      <c r="B445" t="str">
        <f>"HIGHWAY, Leuchteneinsatz linear, LED, 24W, 2700K, weiss"</f>
        <v>HIGHWAY, Leuchteneinsatz linear, LED, 24W, 2700K, weiss</v>
      </c>
      <c r="C445" t="str">
        <f t="shared" si="21"/>
        <v>46</v>
      </c>
      <c r="D445" s="1">
        <v>137.5</v>
      </c>
    </row>
    <row r="446" spans="1:4" x14ac:dyDescent="0.25">
      <c r="A446" t="str">
        <f>"HAEG-27WW1"</f>
        <v>HAEG-27WW1</v>
      </c>
      <c r="B446" t="str">
        <f>"HIGHWAY, Leuchteneinsatz linear, LED, 24W, 3000K, weiss"</f>
        <v>HIGHWAY, Leuchteneinsatz linear, LED, 24W, 3000K, weiss</v>
      </c>
      <c r="C446" t="str">
        <f t="shared" si="21"/>
        <v>46</v>
      </c>
      <c r="D446" s="1">
        <v>137.5</v>
      </c>
    </row>
    <row r="447" spans="1:4" x14ac:dyDescent="0.25">
      <c r="A447" t="str">
        <f>"HAEG-2801"</f>
        <v>HAEG-2801</v>
      </c>
      <c r="B447" t="str">
        <f>"HIGHWAY, Leuchteneinsatz linear, 28W, EVG"</f>
        <v>HIGHWAY, Leuchteneinsatz linear, 28W, EVG</v>
      </c>
      <c r="C447" t="str">
        <f t="shared" si="21"/>
        <v>46</v>
      </c>
      <c r="D447" s="1">
        <v>75</v>
      </c>
    </row>
    <row r="448" spans="1:4" x14ac:dyDescent="0.25">
      <c r="A448" t="str">
        <f>"HAEG-33NW1"</f>
        <v>HAEG-33NW1</v>
      </c>
      <c r="B448" t="str">
        <f>"HIGHWAY, Leuchteneinsatz linear, LED, 32W, 4000K, weiss"</f>
        <v>HIGHWAY, Leuchteneinsatz linear, LED, 32W, 4000K, weiss</v>
      </c>
      <c r="C448" t="str">
        <f t="shared" si="21"/>
        <v>46</v>
      </c>
      <c r="D448" s="1">
        <v>142</v>
      </c>
    </row>
    <row r="449" spans="1:4" x14ac:dyDescent="0.25">
      <c r="A449" t="str">
        <f>"HAEG-33SW1"</f>
        <v>HAEG-33SW1</v>
      </c>
      <c r="B449" t="str">
        <f>"HIGHWAY, Leuchteneinsatz linear, LED, 32W, 2700K, weiss"</f>
        <v>HIGHWAY, Leuchteneinsatz linear, LED, 32W, 2700K, weiss</v>
      </c>
      <c r="C449" t="str">
        <f t="shared" si="21"/>
        <v>46</v>
      </c>
      <c r="D449" s="1">
        <v>142</v>
      </c>
    </row>
    <row r="450" spans="1:4" x14ac:dyDescent="0.25">
      <c r="A450" t="str">
        <f>"HAEG-33WW1"</f>
        <v>HAEG-33WW1</v>
      </c>
      <c r="B450" t="str">
        <f>"HIGHWAY, Leuchteneinsatz linear, LED, 32W, 3000K, weiss"</f>
        <v>HIGHWAY, Leuchteneinsatz linear, LED, 32W, 3000K, weiss</v>
      </c>
      <c r="C450" t="str">
        <f t="shared" si="21"/>
        <v>46</v>
      </c>
      <c r="D450" s="1">
        <v>142</v>
      </c>
    </row>
    <row r="451" spans="1:4" x14ac:dyDescent="0.25">
      <c r="A451" t="str">
        <f>"HAEG-3501"</f>
        <v>HAEG-3501</v>
      </c>
      <c r="B451" t="str">
        <f>"HIGHWAY, Leuchteneinsatz linear, 35W, EVG"</f>
        <v>HIGHWAY, Leuchteneinsatz linear, 35W, EVG</v>
      </c>
      <c r="C451" t="str">
        <f t="shared" si="21"/>
        <v>46</v>
      </c>
      <c r="D451" s="1">
        <v>82.5</v>
      </c>
    </row>
    <row r="452" spans="1:4" x14ac:dyDescent="0.25">
      <c r="A452" t="str">
        <f>"HAEG-3901"</f>
        <v>HAEG-3901</v>
      </c>
      <c r="B452" t="str">
        <f>"HIGHWAY, Leuchteneinsatz linear, 39W, EVG"</f>
        <v>HIGHWAY, Leuchteneinsatz linear, 39W, EVG</v>
      </c>
      <c r="C452" t="str">
        <f>"45"</f>
        <v>45</v>
      </c>
      <c r="D452" s="1">
        <v>75</v>
      </c>
    </row>
    <row r="453" spans="1:4" x14ac:dyDescent="0.25">
      <c r="A453" t="str">
        <f>"HAEG-45NW1"</f>
        <v>HAEG-45NW1</v>
      </c>
      <c r="B453" t="str">
        <f>"HIGHWAY, Leuchteneinsatz linear, LED, 40W, 4000K, weiss"</f>
        <v>HIGHWAY, Leuchteneinsatz linear, LED, 40W, 4000K, weiss</v>
      </c>
      <c r="C453" t="str">
        <f>"46"</f>
        <v>46</v>
      </c>
      <c r="D453" s="1">
        <v>180</v>
      </c>
    </row>
    <row r="454" spans="1:4" x14ac:dyDescent="0.25">
      <c r="A454" t="str">
        <f>"HAEG-45SW1"</f>
        <v>HAEG-45SW1</v>
      </c>
      <c r="B454" t="str">
        <f>"HIGHWAY, Leuchteneinsatz linear, LED, 40W, 2700K, weiss"</f>
        <v>HIGHWAY, Leuchteneinsatz linear, LED, 40W, 2700K, weiss</v>
      </c>
      <c r="C454" t="str">
        <f>"46"</f>
        <v>46</v>
      </c>
      <c r="D454" s="1">
        <v>180</v>
      </c>
    </row>
    <row r="455" spans="1:4" x14ac:dyDescent="0.25">
      <c r="A455" t="str">
        <f>"HAEG-45WW1"</f>
        <v>HAEG-45WW1</v>
      </c>
      <c r="B455" t="str">
        <f>"HIGHWAY, Leuchteneinsatz linear, LED, 40W, 3000K, weiss"</f>
        <v>HIGHWAY, Leuchteneinsatz linear, LED, 40W, 3000K, weiss</v>
      </c>
      <c r="C455" t="str">
        <f>"46"</f>
        <v>46</v>
      </c>
      <c r="D455" s="1">
        <v>180</v>
      </c>
    </row>
    <row r="456" spans="1:4" x14ac:dyDescent="0.25">
      <c r="A456" t="str">
        <f>"HAEG-4901"</f>
        <v>HAEG-4901</v>
      </c>
      <c r="B456" t="str">
        <f>"HIGHWAY, Leuchteneinsatz linear, 49W, EVG"</f>
        <v>HIGHWAY, Leuchteneinsatz linear, 49W, EVG</v>
      </c>
      <c r="C456" t="str">
        <f>"46"</f>
        <v>46</v>
      </c>
      <c r="D456" s="1">
        <v>82.5</v>
      </c>
    </row>
    <row r="457" spans="1:4" x14ac:dyDescent="0.25">
      <c r="A457" t="str">
        <f>"HAEG-5401"</f>
        <v>HAEG-5401</v>
      </c>
      <c r="B457" t="str">
        <f>"HIGHWAY, Leuchteneinsatz linear, 54W, EVG"</f>
        <v>HIGHWAY, Leuchteneinsatz linear, 54W, EVG</v>
      </c>
      <c r="C457" t="str">
        <f>"46"</f>
        <v>46</v>
      </c>
      <c r="D457" s="1">
        <v>75</v>
      </c>
    </row>
    <row r="458" spans="1:4" x14ac:dyDescent="0.25">
      <c r="A458" t="str">
        <f>"HAE-LV"</f>
        <v>HAE-LV</v>
      </c>
      <c r="B458" t="str">
        <f>"HIGHWAY, Längsverbinder inkl. Schrauben"</f>
        <v>HIGHWAY, Längsverbinder inkl. Schrauben</v>
      </c>
      <c r="C458" t="str">
        <f t="shared" ref="C458:C466" si="22">"45"</f>
        <v>45</v>
      </c>
      <c r="D458" s="1">
        <v>13.75</v>
      </c>
    </row>
    <row r="459" spans="1:4" x14ac:dyDescent="0.25">
      <c r="A459" t="str">
        <f>"HA-END"</f>
        <v>HA-END</v>
      </c>
      <c r="B459" t="str">
        <f>"HIGHWAY, Endplatten 2-fach, inkl. Schrauben"</f>
        <v>HIGHWAY, Endplatten 2-fach, inkl. Schrauben</v>
      </c>
      <c r="C459" t="str">
        <f t="shared" si="22"/>
        <v>45</v>
      </c>
      <c r="D459" s="1">
        <v>27.5</v>
      </c>
    </row>
    <row r="460" spans="1:4" x14ac:dyDescent="0.25">
      <c r="A460" t="str">
        <f>"HA-END1"</f>
        <v>HA-END1</v>
      </c>
      <c r="B460" t="str">
        <f>"HIGHWAY, Endplatten 2-fach, inkl. Schrauben"</f>
        <v>HIGHWAY, Endplatten 2-fach, inkl. Schrauben</v>
      </c>
      <c r="C460" t="str">
        <f t="shared" si="22"/>
        <v>45</v>
      </c>
      <c r="D460" s="1">
        <v>46.5</v>
      </c>
    </row>
    <row r="461" spans="1:4" x14ac:dyDescent="0.25">
      <c r="A461" t="str">
        <f>"HAE-OA"</f>
        <v>HAE-OA</v>
      </c>
      <c r="B461" t="str">
        <f>"HIGHWAY, Opalabdeckung aus PMMA, Länge xxx,  matt-opal"</f>
        <v>HIGHWAY, Opalabdeckung aus PMMA, Länge xxx,  matt-opal</v>
      </c>
      <c r="C461" t="str">
        <f t="shared" si="22"/>
        <v>45</v>
      </c>
      <c r="D461" s="1">
        <v>12.5</v>
      </c>
    </row>
    <row r="462" spans="1:4" x14ac:dyDescent="0.25">
      <c r="A462" t="str">
        <f>"HAE-OP"</f>
        <v>HAE-OP</v>
      </c>
      <c r="B462" t="str">
        <f>"HIGHWAY, Prismenabdeckung (Kegelentblendung) aus PMMA klar, L:1188mm"</f>
        <v>HIGHWAY, Prismenabdeckung (Kegelentblendung) aus PMMA klar, L:1188mm</v>
      </c>
      <c r="C462" t="str">
        <f t="shared" si="22"/>
        <v>45</v>
      </c>
      <c r="D462" s="1">
        <v>52.5</v>
      </c>
    </row>
    <row r="463" spans="1:4" x14ac:dyDescent="0.25">
      <c r="A463" t="str">
        <f>"HAER-1401"</f>
        <v>HAER-1401</v>
      </c>
      <c r="B463" t="str">
        <f>"HIGHWAY, Raster für 14/24W, seidenmatt"</f>
        <v>HIGHWAY, Raster für 14/24W, seidenmatt</v>
      </c>
      <c r="C463" t="str">
        <f t="shared" si="22"/>
        <v>45</v>
      </c>
      <c r="D463" s="1">
        <v>47.5</v>
      </c>
    </row>
    <row r="464" spans="1:4" x14ac:dyDescent="0.25">
      <c r="A464" t="str">
        <f>"HAER-2101"</f>
        <v>HAER-2101</v>
      </c>
      <c r="B464" t="str">
        <f>"HIGHWAY, Raster für 21/39W, seidenmatt"</f>
        <v>HIGHWAY, Raster für 21/39W, seidenmatt</v>
      </c>
      <c r="C464" t="str">
        <f t="shared" si="22"/>
        <v>45</v>
      </c>
      <c r="D464" s="1">
        <v>57.5</v>
      </c>
    </row>
    <row r="465" spans="1:4" x14ac:dyDescent="0.25">
      <c r="A465" t="str">
        <f>"HAER-2801"</f>
        <v>HAER-2801</v>
      </c>
      <c r="B465" t="str">
        <f>"HIGHWAY, Raster für 28/54W, seidenmatt"</f>
        <v>HIGHWAY, Raster für 28/54W, seidenmatt</v>
      </c>
      <c r="C465" t="str">
        <f t="shared" si="22"/>
        <v>45</v>
      </c>
      <c r="D465" s="1">
        <v>65</v>
      </c>
    </row>
    <row r="466" spans="1:4" x14ac:dyDescent="0.25">
      <c r="A466" t="str">
        <f>"HAER-3501"</f>
        <v>HAER-3501</v>
      </c>
      <c r="B466" t="str">
        <f>"HIGHWAY, Raster für 35/49W, seidenmatt"</f>
        <v>HIGHWAY, Raster für 35/49W, seidenmatt</v>
      </c>
      <c r="C466" t="str">
        <f t="shared" si="22"/>
        <v>45</v>
      </c>
      <c r="D466" s="1">
        <v>75</v>
      </c>
    </row>
    <row r="467" spans="1:4" x14ac:dyDescent="0.25">
      <c r="A467" t="str">
        <f>"HAES-1401"</f>
        <v>HAES-1401</v>
      </c>
      <c r="B467" t="str">
        <f>"HIGHWAY, Leuchteneinsatz diagonal, 14W, EVG"</f>
        <v>HIGHWAY, Leuchteneinsatz diagonal, 14W, EVG</v>
      </c>
      <c r="C467" t="str">
        <f t="shared" ref="C467:C474" si="23">"47"</f>
        <v>47</v>
      </c>
      <c r="D467" s="1">
        <v>65</v>
      </c>
    </row>
    <row r="468" spans="1:4" x14ac:dyDescent="0.25">
      <c r="A468" t="str">
        <f>"HAES-2101"</f>
        <v>HAES-2101</v>
      </c>
      <c r="B468" t="str">
        <f>"HIGHWAY, Leuchteneinsatz diagonal, 21W, EVG"</f>
        <v>HIGHWAY, Leuchteneinsatz diagonal, 21W, EVG</v>
      </c>
      <c r="C468" t="str">
        <f t="shared" si="23"/>
        <v>47</v>
      </c>
      <c r="D468" s="1">
        <v>75</v>
      </c>
    </row>
    <row r="469" spans="1:4" x14ac:dyDescent="0.25">
      <c r="A469" t="str">
        <f>"HAES-2401"</f>
        <v>HAES-2401</v>
      </c>
      <c r="B469" t="str">
        <f>"HIGHWAY, Leuchteneinsatz diagonal, 24W, EVG"</f>
        <v>HIGHWAY, Leuchteneinsatz diagonal, 24W, EVG</v>
      </c>
      <c r="C469" t="str">
        <f t="shared" si="23"/>
        <v>47</v>
      </c>
      <c r="D469" s="1">
        <v>65</v>
      </c>
    </row>
    <row r="470" spans="1:4" x14ac:dyDescent="0.25">
      <c r="A470" t="str">
        <f>"HAES-2801"</f>
        <v>HAES-2801</v>
      </c>
      <c r="B470" t="str">
        <f>"HIGHWAY, Leuchteneinsatz diagonal, 28W, EVG"</f>
        <v>HIGHWAY, Leuchteneinsatz diagonal, 28W, EVG</v>
      </c>
      <c r="C470" t="str">
        <f t="shared" si="23"/>
        <v>47</v>
      </c>
      <c r="D470" s="1">
        <v>75</v>
      </c>
    </row>
    <row r="471" spans="1:4" x14ac:dyDescent="0.25">
      <c r="A471" t="str">
        <f>"HAES-3501"</f>
        <v>HAES-3501</v>
      </c>
      <c r="B471" t="str">
        <f>"HIGHWAY, Leuchteneinsatz diagonal, 35W, EVG"</f>
        <v>HIGHWAY, Leuchteneinsatz diagonal, 35W, EVG</v>
      </c>
      <c r="C471" t="str">
        <f t="shared" si="23"/>
        <v>47</v>
      </c>
      <c r="D471" s="1">
        <v>82.5</v>
      </c>
    </row>
    <row r="472" spans="1:4" x14ac:dyDescent="0.25">
      <c r="A472" t="str">
        <f>"HAES-3901"</f>
        <v>HAES-3901</v>
      </c>
      <c r="B472" t="str">
        <f>"HIGHWAY, Leuchteneinsatz diagonal, 39W, EVG"</f>
        <v>HIGHWAY, Leuchteneinsatz diagonal, 39W, EVG</v>
      </c>
      <c r="C472" t="str">
        <f t="shared" si="23"/>
        <v>47</v>
      </c>
      <c r="D472" s="1">
        <v>75</v>
      </c>
    </row>
    <row r="473" spans="1:4" x14ac:dyDescent="0.25">
      <c r="A473" t="str">
        <f>"HAES-4901"</f>
        <v>HAES-4901</v>
      </c>
      <c r="B473" t="str">
        <f>"HIGHWAY, Leuchteneinsatz diagonal, 49W, EVG"</f>
        <v>HIGHWAY, Leuchteneinsatz diagonal, 49W, EVG</v>
      </c>
      <c r="C473" t="str">
        <f t="shared" si="23"/>
        <v>47</v>
      </c>
      <c r="D473" s="1">
        <v>82.5</v>
      </c>
    </row>
    <row r="474" spans="1:4" x14ac:dyDescent="0.25">
      <c r="A474" t="str">
        <f>"HAES-5401"</f>
        <v>HAES-5401</v>
      </c>
      <c r="B474" t="str">
        <f>"HIGHWAY, Leuchteneinsatz diagonal, 54W, EVG"</f>
        <v>HIGHWAY, Leuchteneinsatz diagonal, 54W, EVG</v>
      </c>
      <c r="C474" t="str">
        <f t="shared" si="23"/>
        <v>47</v>
      </c>
      <c r="D474" s="1">
        <v>75</v>
      </c>
    </row>
    <row r="475" spans="1:4" x14ac:dyDescent="0.25">
      <c r="A475" t="str">
        <f>"HA-EV"</f>
        <v>HA-EV</v>
      </c>
      <c r="B475" t="str">
        <f>"HIGHWAY, Eckverbinder für HA-xx"</f>
        <v>HIGHWAY, Eckverbinder für HA-xx</v>
      </c>
      <c r="C475" t="str">
        <f>"45"</f>
        <v>45</v>
      </c>
      <c r="D475" s="1">
        <v>77.5</v>
      </c>
    </row>
    <row r="476" spans="1:4" x14ac:dyDescent="0.25">
      <c r="A476" t="str">
        <f>"HA-EV1"</f>
        <v>HA-EV1</v>
      </c>
      <c r="B476" t="str">
        <f>"HIGHWAY, Eckverbinder für HIGHA-xx"</f>
        <v>HIGHWAY, Eckverbinder für HIGHA-xx</v>
      </c>
      <c r="C476" t="str">
        <f>"45"</f>
        <v>45</v>
      </c>
      <c r="D476" s="1">
        <v>94.75</v>
      </c>
    </row>
    <row r="477" spans="1:4" x14ac:dyDescent="0.25">
      <c r="A477" t="str">
        <f>"HA-P"</f>
        <v>HA-P</v>
      </c>
      <c r="B477" t="str">
        <f>"HIGHWAY, Y-Stahlseilabhängung 1500mm, inkl. Zuleitung"</f>
        <v>HIGHWAY, Y-Stahlseilabhängung 1500mm, inkl. Zuleitung</v>
      </c>
      <c r="C477" t="str">
        <f>"45"</f>
        <v>45</v>
      </c>
      <c r="D477" s="1">
        <v>35</v>
      </c>
    </row>
    <row r="478" spans="1:4" x14ac:dyDescent="0.25">
      <c r="A478" t="str">
        <f>"HAPI-33NW7O"</f>
        <v>HAPI-33NW7O</v>
      </c>
      <c r="B478" t="str">
        <f>"HIGHWAY, Pendelleuchte, LED, 33W direkter/indirekt Lichtaustritt, 4000K"</f>
        <v>HIGHWAY, Pendelleuchte, LED, 33W direkter/indirekt Lichtaustritt, 4000K</v>
      </c>
      <c r="C478" t="str">
        <f t="shared" ref="C478:C493" si="24">"51"</f>
        <v>51</v>
      </c>
      <c r="D478" s="1">
        <v>397.5</v>
      </c>
    </row>
    <row r="479" spans="1:4" x14ac:dyDescent="0.25">
      <c r="A479" t="str">
        <f>"HAPI-33SW7O"</f>
        <v>HAPI-33SW7O</v>
      </c>
      <c r="B479" t="str">
        <f>"HIGHWAY, Pendelleuchte, LED, 33W direkter/indirekt Lichtaustritt, 2700K"</f>
        <v>HIGHWAY, Pendelleuchte, LED, 33W direkter/indirekt Lichtaustritt, 2700K</v>
      </c>
      <c r="C479" t="str">
        <f t="shared" si="24"/>
        <v>51</v>
      </c>
      <c r="D479" s="1">
        <v>397.5</v>
      </c>
    </row>
    <row r="480" spans="1:4" x14ac:dyDescent="0.25">
      <c r="A480" t="str">
        <f>"HAPI-33WW7O"</f>
        <v>HAPI-33WW7O</v>
      </c>
      <c r="B480" t="str">
        <f>"HIGHWAY, Pendelleuchte, LED, 33W direkter/indirekt Lichtaustritt, 3000K"</f>
        <v>HIGHWAY, Pendelleuchte, LED, 33W direkter/indirekt Lichtaustritt, 3000K</v>
      </c>
      <c r="C480" t="str">
        <f t="shared" si="24"/>
        <v>51</v>
      </c>
      <c r="D480" s="1">
        <v>397.5</v>
      </c>
    </row>
    <row r="481" spans="1:4" x14ac:dyDescent="0.25">
      <c r="A481" t="str">
        <f>"HAPI-45NW7O"</f>
        <v>HAPI-45NW7O</v>
      </c>
      <c r="B481" t="str">
        <f>"HIGHWAY, Pendelleuchte, LED, 45W direkter/indirekt Lichtaustritt, 4000K"</f>
        <v>HIGHWAY, Pendelleuchte, LED, 45W direkter/indirekt Lichtaustritt, 4000K</v>
      </c>
      <c r="C481" t="str">
        <f t="shared" si="24"/>
        <v>51</v>
      </c>
      <c r="D481" s="1">
        <v>419</v>
      </c>
    </row>
    <row r="482" spans="1:4" x14ac:dyDescent="0.25">
      <c r="A482" t="str">
        <f>"HAPI-45SW7O"</f>
        <v>HAPI-45SW7O</v>
      </c>
      <c r="B482" t="str">
        <f>"HIGHWAY, Pendelleuchte, LED, 45W direkter/indirekt Lichtaustritt, 2700K"</f>
        <v>HIGHWAY, Pendelleuchte, LED, 45W direkter/indirekt Lichtaustritt, 2700K</v>
      </c>
      <c r="C482" t="str">
        <f t="shared" si="24"/>
        <v>51</v>
      </c>
      <c r="D482" s="1">
        <v>419</v>
      </c>
    </row>
    <row r="483" spans="1:4" x14ac:dyDescent="0.25">
      <c r="A483" t="str">
        <f>"HAPI-45WW7O"</f>
        <v>HAPI-45WW7O</v>
      </c>
      <c r="B483" t="str">
        <f>"HIGHWAY, Pendelleuchte, LED, 45W direkter/indirekt Lichtaustritt, 3000K"</f>
        <v>HIGHWAY, Pendelleuchte, LED, 45W direkter/indirekt Lichtaustritt, 3000K</v>
      </c>
      <c r="C483" t="str">
        <f t="shared" si="24"/>
        <v>51</v>
      </c>
      <c r="D483" s="1">
        <v>419</v>
      </c>
    </row>
    <row r="484" spans="1:4" x14ac:dyDescent="0.25">
      <c r="A484" t="str">
        <f>"HAP-2837O"</f>
        <v>HAP-2837O</v>
      </c>
      <c r="B484" t="str">
        <f>"HIGHWAY, Pendelleuchte, T16, 28W, G5, EVG, alu eloxiert"</f>
        <v>HIGHWAY, Pendelleuchte, T16, 28W, G5, EVG, alu eloxiert</v>
      </c>
      <c r="C484" t="str">
        <f t="shared" si="24"/>
        <v>51</v>
      </c>
      <c r="D484" s="1">
        <v>237</v>
      </c>
    </row>
    <row r="485" spans="1:4" x14ac:dyDescent="0.25">
      <c r="A485" t="str">
        <f>"HAP-2837R"</f>
        <v>HAP-2837R</v>
      </c>
      <c r="B485" t="str">
        <f>"HIGHWAY, Pendelleuchte, T16, 28W, G5, EVG, alu eloxiert"</f>
        <v>HIGHWAY, Pendelleuchte, T16, 28W, G5, EVG, alu eloxiert</v>
      </c>
      <c r="C485" t="str">
        <f t="shared" si="24"/>
        <v>51</v>
      </c>
      <c r="D485" s="1">
        <v>277.5</v>
      </c>
    </row>
    <row r="486" spans="1:4" x14ac:dyDescent="0.25">
      <c r="A486" t="str">
        <f>"HAP-33NW7O"</f>
        <v>HAP-33NW7O</v>
      </c>
      <c r="B486" t="str">
        <f>"HIGHWAY, Pendelleuchte, LED, 31W, 4000K, alu eloxiert"</f>
        <v>HIGHWAY, Pendelleuchte, LED, 31W, 4000K, alu eloxiert</v>
      </c>
      <c r="C486" t="str">
        <f t="shared" si="24"/>
        <v>51</v>
      </c>
      <c r="D486" s="1">
        <v>305</v>
      </c>
    </row>
    <row r="487" spans="1:4" x14ac:dyDescent="0.25">
      <c r="A487" t="str">
        <f>"HAP-33SW7O"</f>
        <v>HAP-33SW7O</v>
      </c>
      <c r="B487" t="str">
        <f>"HIGHWAY, Pendelleuchte, LED, 32W, 2700K, alu eloxiert"</f>
        <v>HIGHWAY, Pendelleuchte, LED, 32W, 2700K, alu eloxiert</v>
      </c>
      <c r="C487" t="str">
        <f t="shared" si="24"/>
        <v>51</v>
      </c>
      <c r="D487" s="1">
        <v>305</v>
      </c>
    </row>
    <row r="488" spans="1:4" x14ac:dyDescent="0.25">
      <c r="A488" t="str">
        <f>"HAP-33WW7O"</f>
        <v>HAP-33WW7O</v>
      </c>
      <c r="B488" t="str">
        <f>"HIGHWAY, Pendelleuchte, LED, 32W, 3000K, alu eloxiert"</f>
        <v>HIGHWAY, Pendelleuchte, LED, 32W, 3000K, alu eloxiert</v>
      </c>
      <c r="C488" t="str">
        <f t="shared" si="24"/>
        <v>51</v>
      </c>
      <c r="D488" s="1">
        <v>305</v>
      </c>
    </row>
    <row r="489" spans="1:4" x14ac:dyDescent="0.25">
      <c r="A489" t="str">
        <f>"HAP-3537O"</f>
        <v>HAP-3537O</v>
      </c>
      <c r="B489" t="str">
        <f>"HIGHWAY, Pendelleuchte, T16, 35W, G5, EVG, alu eloxiert"</f>
        <v>HIGHWAY, Pendelleuchte, T16, 35W, G5, EVG, alu eloxiert</v>
      </c>
      <c r="C489" t="str">
        <f t="shared" si="24"/>
        <v>51</v>
      </c>
      <c r="D489" s="1">
        <v>263</v>
      </c>
    </row>
    <row r="490" spans="1:4" x14ac:dyDescent="0.25">
      <c r="A490" t="str">
        <f>"HAP-3537R"</f>
        <v>HAP-3537R</v>
      </c>
      <c r="B490" t="str">
        <f>"HIGHWAY, Pendelleuchte, T16, 35W, G5, EVG, alu eloxiert"</f>
        <v>HIGHWAY, Pendelleuchte, T16, 35W, G5, EVG, alu eloxiert</v>
      </c>
      <c r="C490" t="str">
        <f t="shared" si="24"/>
        <v>51</v>
      </c>
      <c r="D490" s="1">
        <v>305</v>
      </c>
    </row>
    <row r="491" spans="1:4" x14ac:dyDescent="0.25">
      <c r="A491" t="str">
        <f>"HAP-45NW7O"</f>
        <v>HAP-45NW7O</v>
      </c>
      <c r="B491" t="str">
        <f>"HIGHWAY, Pendelleuchte, LED, 41W, 4000K, alu eloxiert"</f>
        <v>HIGHWAY, Pendelleuchte, LED, 41W, 4000K, alu eloxiert</v>
      </c>
      <c r="C491" t="str">
        <f t="shared" si="24"/>
        <v>51</v>
      </c>
      <c r="D491" s="1">
        <v>375</v>
      </c>
    </row>
    <row r="492" spans="1:4" x14ac:dyDescent="0.25">
      <c r="A492" t="str">
        <f>"HAP-45SW7O"</f>
        <v>HAP-45SW7O</v>
      </c>
      <c r="B492" t="str">
        <f>"HIGHWAY, Pendelleuchte, LED, 41W, 2700K, alu eloxiert"</f>
        <v>HIGHWAY, Pendelleuchte, LED, 41W, 2700K, alu eloxiert</v>
      </c>
      <c r="C492" t="str">
        <f t="shared" si="24"/>
        <v>51</v>
      </c>
      <c r="D492" s="1">
        <v>375</v>
      </c>
    </row>
    <row r="493" spans="1:4" x14ac:dyDescent="0.25">
      <c r="A493" t="str">
        <f>"HAP-45WW7O"</f>
        <v>HAP-45WW7O</v>
      </c>
      <c r="B493" t="str">
        <f>"HIGHWAY, Pendelleuchte, LED, 45W, 3000K, alu eloxiert"</f>
        <v>HIGHWAY, Pendelleuchte, LED, 45W, 3000K, alu eloxiert</v>
      </c>
      <c r="C493" t="str">
        <f t="shared" si="24"/>
        <v>51</v>
      </c>
      <c r="D493" s="1">
        <v>375</v>
      </c>
    </row>
    <row r="494" spans="1:4" x14ac:dyDescent="0.25">
      <c r="A494" t="str">
        <f>"HA-S"</f>
        <v>HA-S</v>
      </c>
      <c r="B494" t="str">
        <f>"HIGHWAY, Stahlseilabhängung einzeln, 1500mm"</f>
        <v>HIGHWAY, Stahlseilabhängung einzeln, 1500mm</v>
      </c>
      <c r="C494" t="str">
        <f>"45"</f>
        <v>45</v>
      </c>
      <c r="D494" s="1">
        <v>25</v>
      </c>
    </row>
    <row r="495" spans="1:4" x14ac:dyDescent="0.25">
      <c r="A495" t="str">
        <f>"HA-TV"</f>
        <v>HA-TV</v>
      </c>
      <c r="B495" t="str">
        <f>"HIGHWAY, T-Verbinder für HA-xx"</f>
        <v>HIGHWAY, T-Verbinder für HA-xx</v>
      </c>
      <c r="C495" t="str">
        <f>"45"</f>
        <v>45</v>
      </c>
      <c r="D495" s="1">
        <v>124.25</v>
      </c>
    </row>
    <row r="496" spans="1:4" x14ac:dyDescent="0.25">
      <c r="A496" t="str">
        <f>"HA-X"</f>
        <v>HA-X</v>
      </c>
      <c r="B496" t="str">
        <f>"HIGHWAY, Aufbau, Aluminiumprofil, Länge xxx, eloxiert "</f>
        <v xml:space="preserve">HIGHWAY, Aufbau, Aluminiumprofil, Länge xxx, eloxiert </v>
      </c>
      <c r="C496" t="str">
        <f>"45"</f>
        <v>45</v>
      </c>
      <c r="D496" s="1">
        <v>46</v>
      </c>
    </row>
    <row r="497" spans="1:4" x14ac:dyDescent="0.25">
      <c r="A497" t="str">
        <f>"HA-XV"</f>
        <v>HA-XV</v>
      </c>
      <c r="B497" t="str">
        <f>"HIGHWAY, X-Verbinder für HA-xx"</f>
        <v>HIGHWAY, X-Verbinder für HA-xx</v>
      </c>
      <c r="C497" t="str">
        <f>"45"</f>
        <v>45</v>
      </c>
      <c r="D497" s="1">
        <v>159.75</v>
      </c>
    </row>
    <row r="498" spans="1:4" x14ac:dyDescent="0.25">
      <c r="A498" t="str">
        <f>"HA-X1"</f>
        <v>HA-X1</v>
      </c>
      <c r="B498" t="str">
        <f>"HIGHWAY, Aufbau, Aluminiumprofil, Länge xxx, eloxiert "</f>
        <v xml:space="preserve">HIGHWAY, Aufbau, Aluminiumprofil, Länge xxx, eloxiert </v>
      </c>
      <c r="C498" t="str">
        <f>"45"</f>
        <v>45</v>
      </c>
      <c r="D498" s="1">
        <v>76.25</v>
      </c>
    </row>
    <row r="499" spans="1:4" x14ac:dyDescent="0.25">
      <c r="A499" t="str">
        <f>"HA-2807O"</f>
        <v>HA-2807O</v>
      </c>
      <c r="B499" t="str">
        <f>"HIGHWAY, Deckenleuchte, T16, 28W, G5, EVG, alu eloxiert"</f>
        <v>HIGHWAY, Deckenleuchte, T16, 28W, G5, EVG, alu eloxiert</v>
      </c>
      <c r="C499" t="str">
        <f t="shared" ref="C499:C508" si="25">"49"</f>
        <v>49</v>
      </c>
      <c r="D499" s="1">
        <v>202</v>
      </c>
    </row>
    <row r="500" spans="1:4" x14ac:dyDescent="0.25">
      <c r="A500" t="str">
        <f>"HA-2807R"</f>
        <v>HA-2807R</v>
      </c>
      <c r="B500" t="str">
        <f>"HIGHWAY, Deckenleuchte, T16, 28W, G5, EVG, alu eloxiert"</f>
        <v>HIGHWAY, Deckenleuchte, T16, 28W, G5, EVG, alu eloxiert</v>
      </c>
      <c r="C500" t="str">
        <f t="shared" si="25"/>
        <v>49</v>
      </c>
      <c r="D500" s="1">
        <v>242.5</v>
      </c>
    </row>
    <row r="501" spans="1:4" x14ac:dyDescent="0.25">
      <c r="A501" t="str">
        <f>"HA-33NW7O"</f>
        <v>HA-33NW7O</v>
      </c>
      <c r="B501" t="str">
        <f>"HIGHWAY, Deckenleuchte, LED, 33W, 4000K, alu eloxiert"</f>
        <v>HIGHWAY, Deckenleuchte, LED, 33W, 4000K, alu eloxiert</v>
      </c>
      <c r="C501" t="str">
        <f t="shared" si="25"/>
        <v>49</v>
      </c>
      <c r="D501" s="1">
        <v>270</v>
      </c>
    </row>
    <row r="502" spans="1:4" x14ac:dyDescent="0.25">
      <c r="A502" t="str">
        <f>"HA-33SW7O"</f>
        <v>HA-33SW7O</v>
      </c>
      <c r="B502" t="str">
        <f>"HIGHWAY, Deckenleuchte, LED, 33W, 2700K, alu eloxiert"</f>
        <v>HIGHWAY, Deckenleuchte, LED, 33W, 2700K, alu eloxiert</v>
      </c>
      <c r="C502" t="str">
        <f t="shared" si="25"/>
        <v>49</v>
      </c>
      <c r="D502" s="1">
        <v>270</v>
      </c>
    </row>
    <row r="503" spans="1:4" x14ac:dyDescent="0.25">
      <c r="A503" t="str">
        <f>"HA-33WW7O"</f>
        <v>HA-33WW7O</v>
      </c>
      <c r="B503" t="str">
        <f>"HIGHWAY, Deckenleuchte, LED, 33W, 3000K, alu eloxiert"</f>
        <v>HIGHWAY, Deckenleuchte, LED, 33W, 3000K, alu eloxiert</v>
      </c>
      <c r="C503" t="str">
        <f t="shared" si="25"/>
        <v>49</v>
      </c>
      <c r="D503" s="1">
        <v>270</v>
      </c>
    </row>
    <row r="504" spans="1:4" x14ac:dyDescent="0.25">
      <c r="A504" t="str">
        <f>"HA-3507O"</f>
        <v>HA-3507O</v>
      </c>
      <c r="B504" t="str">
        <f>"HIGHWAY, Deckenleuchte, T16, 35W, G5, EVG, alu eloxiert"</f>
        <v>HIGHWAY, Deckenleuchte, T16, 35W, G5, EVG, alu eloxiert</v>
      </c>
      <c r="C504" t="str">
        <f t="shared" si="25"/>
        <v>49</v>
      </c>
      <c r="D504" s="1">
        <v>228</v>
      </c>
    </row>
    <row r="505" spans="1:4" x14ac:dyDescent="0.25">
      <c r="A505" t="str">
        <f>"HA-3507R"</f>
        <v>HA-3507R</v>
      </c>
      <c r="B505" t="str">
        <f>"HIGHWAY, Deckenleuchte, T16, 35W, G5, EVG, alu eloxiert"</f>
        <v>HIGHWAY, Deckenleuchte, T16, 35W, G5, EVG, alu eloxiert</v>
      </c>
      <c r="C505" t="str">
        <f t="shared" si="25"/>
        <v>49</v>
      </c>
      <c r="D505" s="1">
        <v>270</v>
      </c>
    </row>
    <row r="506" spans="1:4" x14ac:dyDescent="0.25">
      <c r="A506" t="str">
        <f>"HA-45NW7O"</f>
        <v>HA-45NW7O</v>
      </c>
      <c r="B506" t="str">
        <f>"HIGHWAY, Deckenleuchte, LED, 45W, 4000K, alu eloxiert"</f>
        <v>HIGHWAY, Deckenleuchte, LED, 45W, 4000K, alu eloxiert</v>
      </c>
      <c r="C506" t="str">
        <f t="shared" si="25"/>
        <v>49</v>
      </c>
      <c r="D506" s="1">
        <v>340</v>
      </c>
    </row>
    <row r="507" spans="1:4" x14ac:dyDescent="0.25">
      <c r="A507" t="str">
        <f>"HA-45SW7O"</f>
        <v>HA-45SW7O</v>
      </c>
      <c r="B507" t="str">
        <f>"HIGHWAY, Deckenleuchte, LED, 45W, 2700K, alu eloxiert"</f>
        <v>HIGHWAY, Deckenleuchte, LED, 45W, 2700K, alu eloxiert</v>
      </c>
      <c r="C507" t="str">
        <f t="shared" si="25"/>
        <v>49</v>
      </c>
      <c r="D507" s="1">
        <v>340</v>
      </c>
    </row>
    <row r="508" spans="1:4" x14ac:dyDescent="0.25">
      <c r="A508" t="str">
        <f>"HA-45WW7O"</f>
        <v>HA-45WW7O</v>
      </c>
      <c r="B508" t="str">
        <f>"HIGHWAY, Deckenleuchte, LED, 45W, 3000K, alu eloxiert"</f>
        <v>HIGHWAY, Deckenleuchte, LED, 45W, 3000K, alu eloxiert</v>
      </c>
      <c r="C508" t="str">
        <f t="shared" si="25"/>
        <v>49</v>
      </c>
      <c r="D508" s="1">
        <v>340</v>
      </c>
    </row>
    <row r="509" spans="1:4" x14ac:dyDescent="0.25">
      <c r="A509" t="str">
        <f>"HBA-120NW2"</f>
        <v>HBA-120NW2</v>
      </c>
      <c r="B509" t="str">
        <f>"High Bay linear, LED 112W, schwarz,L: 665mm, IP20"</f>
        <v>High Bay linear, LED 112W, schwarz,L: 665mm, IP20</v>
      </c>
      <c r="C509" t="str">
        <f>"127"</f>
        <v>127</v>
      </c>
      <c r="D509" s="1">
        <v>270</v>
      </c>
    </row>
    <row r="510" spans="1:4" x14ac:dyDescent="0.25">
      <c r="A510" t="str">
        <f>"HBA-60NW2"</f>
        <v>HBA-60NW2</v>
      </c>
      <c r="B510" t="str">
        <f>"High Bay linear, LED 58W, schwarz,L: 415mm, IP20"</f>
        <v>High Bay linear, LED 58W, schwarz,L: 415mm, IP20</v>
      </c>
      <c r="C510" t="str">
        <f>"127"</f>
        <v>127</v>
      </c>
      <c r="D510" s="1">
        <v>173.5</v>
      </c>
    </row>
    <row r="511" spans="1:4" x14ac:dyDescent="0.25">
      <c r="A511" t="str">
        <f>"HE-END"</f>
        <v>HE-END</v>
      </c>
      <c r="B511" t="str">
        <f>"HIGHWAY, Endplatten 2-fach, inkl. Schrauben"</f>
        <v>HIGHWAY, Endplatten 2-fach, inkl. Schrauben</v>
      </c>
      <c r="C511" t="str">
        <f t="shared" ref="C511:C516" si="26">"45"</f>
        <v>45</v>
      </c>
      <c r="D511" s="1">
        <v>67.5</v>
      </c>
    </row>
    <row r="512" spans="1:4" x14ac:dyDescent="0.25">
      <c r="A512" t="str">
        <f>"HE-EV"</f>
        <v>HE-EV</v>
      </c>
      <c r="B512" t="str">
        <f>"HIGHWAY, Eckverbinder für HE-xx"</f>
        <v>HIGHWAY, Eckverbinder für HE-xx</v>
      </c>
      <c r="C512" t="str">
        <f t="shared" si="26"/>
        <v>45</v>
      </c>
      <c r="D512" s="1">
        <v>77.5</v>
      </c>
    </row>
    <row r="513" spans="1:4" x14ac:dyDescent="0.25">
      <c r="A513" t="str">
        <f>"HE-TV"</f>
        <v>HE-TV</v>
      </c>
      <c r="B513" t="str">
        <f>"HIGHWAY, T-Verbinder für HE-xx"</f>
        <v>HIGHWAY, T-Verbinder für HE-xx</v>
      </c>
      <c r="C513" t="str">
        <f t="shared" si="26"/>
        <v>45</v>
      </c>
      <c r="D513" s="1">
        <v>125</v>
      </c>
    </row>
    <row r="514" spans="1:4" x14ac:dyDescent="0.25">
      <c r="A514" t="str">
        <f>"HE-WIN"</f>
        <v>HE-WIN</v>
      </c>
      <c r="B514" t="str">
        <f>"HIGHWAY, Einbauwinkel für Deckenmontage"</f>
        <v>HIGHWAY, Einbauwinkel für Deckenmontage</v>
      </c>
      <c r="C514" t="str">
        <f t="shared" si="26"/>
        <v>45</v>
      </c>
      <c r="D514" s="1">
        <v>10</v>
      </c>
    </row>
    <row r="515" spans="1:4" x14ac:dyDescent="0.25">
      <c r="A515" t="str">
        <f>"HE-X"</f>
        <v>HE-X</v>
      </c>
      <c r="B515" t="str">
        <f>"HIGHWAY, Einbau, Aluminiumprofil, Länge xxx, eloxiert "</f>
        <v xml:space="preserve">HIGHWAY, Einbau, Aluminiumprofil, Länge xxx, eloxiert </v>
      </c>
      <c r="C515" t="str">
        <f t="shared" si="26"/>
        <v>45</v>
      </c>
      <c r="D515" s="1">
        <v>46</v>
      </c>
    </row>
    <row r="516" spans="1:4" x14ac:dyDescent="0.25">
      <c r="A516" t="str">
        <f>"HE-XV"</f>
        <v>HE-XV</v>
      </c>
      <c r="B516" t="str">
        <f>"HIGHWAY, X-Verbinder für HE-xx"</f>
        <v>HIGHWAY, X-Verbinder für HE-xx</v>
      </c>
      <c r="C516" t="str">
        <f t="shared" si="26"/>
        <v>45</v>
      </c>
      <c r="D516" s="1">
        <v>160</v>
      </c>
    </row>
    <row r="517" spans="1:4" x14ac:dyDescent="0.25">
      <c r="A517" t="str">
        <f>"ICE-10W1200"</f>
        <v>ICE-10W1200</v>
      </c>
      <c r="B517" t="str">
        <f>"ICE LED Linear system, 10W, 4000K, 1200mm lang, IP54, Kunststoffabdeckung"</f>
        <v>ICE LED Linear system, 10W, 4000K, 1200mm lang, IP54, Kunststoffabdeckung</v>
      </c>
      <c r="C517" t="str">
        <f>"99"</f>
        <v>99</v>
      </c>
      <c r="D517" s="1">
        <v>87</v>
      </c>
    </row>
    <row r="518" spans="1:4" x14ac:dyDescent="0.25">
      <c r="A518" t="str">
        <f>"ICE-3W380"</f>
        <v>ICE-3W380</v>
      </c>
      <c r="B518" t="str">
        <f>"ICE LED Linear system, 3W, 4000K, 380mm lang, IP54, Kunststoffabdeckung"</f>
        <v>ICE LED Linear system, 3W, 4000K, 380mm lang, IP54, Kunststoffabdeckung</v>
      </c>
      <c r="C518" t="str">
        <f>"99"</f>
        <v>99</v>
      </c>
      <c r="D518" s="1">
        <v>40</v>
      </c>
    </row>
    <row r="519" spans="1:4" x14ac:dyDescent="0.25">
      <c r="A519" t="str">
        <f>"ICE-5W605"</f>
        <v>ICE-5W605</v>
      </c>
      <c r="B519" t="str">
        <f>"ICE LED Linear system, 5W, 4000K, 605mm lang, IP54, Kunststoffabdeckung"</f>
        <v>ICE LED Linear system, 5W, 4000K, 605mm lang, IP54, Kunststoffabdeckung</v>
      </c>
      <c r="C519" t="str">
        <f>"99"</f>
        <v>99</v>
      </c>
      <c r="D519" s="1">
        <v>55</v>
      </c>
    </row>
    <row r="520" spans="1:4" x14ac:dyDescent="0.25">
      <c r="A520" t="str">
        <f>"ICE-8W1000"</f>
        <v>ICE-8W1000</v>
      </c>
      <c r="B520" t="str">
        <f>"ICE LED Linear system, 8W, 4000K, 1000 mm lang, IP54, Kunststoffabdeckung"</f>
        <v>ICE LED Linear system, 8W, 4000K, 1000 mm lang, IP54, Kunststoffabdeckung</v>
      </c>
      <c r="C520" t="str">
        <f>"99"</f>
        <v>99</v>
      </c>
      <c r="D520" s="1">
        <v>75</v>
      </c>
    </row>
    <row r="521" spans="1:4" x14ac:dyDescent="0.25">
      <c r="A521" t="str">
        <f>"IHN-10007L"</f>
        <v>IHN-10007L</v>
      </c>
      <c r="B521" t="str">
        <f>"IHN, Pendeldownlight, AGL max.30W E27, Glas zyl. limette, 1,5m Kabell. trans."</f>
        <v>IHN, Pendeldownlight, AGL max.30W E27, Glas zyl. limette, 1,5m Kabell. trans.</v>
      </c>
      <c r="C521" t="str">
        <f t="shared" ref="C521:C536" si="27">"145"</f>
        <v>145</v>
      </c>
      <c r="D521" s="1">
        <v>160</v>
      </c>
    </row>
    <row r="522" spans="1:4" x14ac:dyDescent="0.25">
      <c r="A522" t="str">
        <f>"IHN-10007O"</f>
        <v>IHN-10007O</v>
      </c>
      <c r="B522" t="str">
        <f>"IHN, Pendeldownlight, AGL max.30W E27, Glas zyl. orange, 1,5m Kabell. trans."</f>
        <v>IHN, Pendeldownlight, AGL max.30W E27, Glas zyl. orange, 1,5m Kabell. trans.</v>
      </c>
      <c r="C522" t="str">
        <f t="shared" si="27"/>
        <v>145</v>
      </c>
      <c r="D522" s="1">
        <v>160</v>
      </c>
    </row>
    <row r="523" spans="1:4" x14ac:dyDescent="0.25">
      <c r="A523" t="str">
        <f>"IHN-10007R"</f>
        <v>IHN-10007R</v>
      </c>
      <c r="B523" t="str">
        <f>"IHN, Pendeldownlight, AGL max.30W E27, Glas zyl. rot, 1,5m Kabell. trans."</f>
        <v>IHN, Pendeldownlight, AGL max.30W E27, Glas zyl. rot, 1,5m Kabell. trans.</v>
      </c>
      <c r="C523" t="str">
        <f t="shared" si="27"/>
        <v>145</v>
      </c>
      <c r="D523" s="1">
        <v>160</v>
      </c>
    </row>
    <row r="524" spans="1:4" x14ac:dyDescent="0.25">
      <c r="A524" t="str">
        <f>"IHN-10007W"</f>
        <v>IHN-10007W</v>
      </c>
      <c r="B524" t="str">
        <f>"IHN, Pendeldownlight, AGL max.30W E27, Glas zyl. weiß/opal, 1,5m Kabell. trans."</f>
        <v>IHN, Pendeldownlight, AGL max.30W E27, Glas zyl. weiß/opal, 1,5m Kabell. trans.</v>
      </c>
      <c r="C524" t="str">
        <f t="shared" si="27"/>
        <v>145</v>
      </c>
      <c r="D524" s="1">
        <v>160</v>
      </c>
    </row>
    <row r="525" spans="1:4" x14ac:dyDescent="0.25">
      <c r="A525" t="str">
        <f>"IHN-10017L"</f>
        <v>IHN-10017L</v>
      </c>
      <c r="B525" t="str">
        <f>"IHN, Pendeldownlight, AGL max.30W E27, Glas zyl. limette, 1,5m Kabell. trans."</f>
        <v>IHN, Pendeldownlight, AGL max.30W E27, Glas zyl. limette, 1,5m Kabell. trans.</v>
      </c>
      <c r="C525" t="str">
        <f t="shared" si="27"/>
        <v>145</v>
      </c>
      <c r="D525" s="1">
        <v>169</v>
      </c>
    </row>
    <row r="526" spans="1:4" x14ac:dyDescent="0.25">
      <c r="A526" t="str">
        <f>"IHN-10017O"</f>
        <v>IHN-10017O</v>
      </c>
      <c r="B526" t="str">
        <f>"IHN, Pendeldownlight, AGL max.30W E27, Glas zyl. orange, 1,5m Kabell. trans."</f>
        <v>IHN, Pendeldownlight, AGL max.30W E27, Glas zyl. orange, 1,5m Kabell. trans.</v>
      </c>
      <c r="C526" t="str">
        <f t="shared" si="27"/>
        <v>145</v>
      </c>
      <c r="D526" s="1">
        <v>169</v>
      </c>
    </row>
    <row r="527" spans="1:4" x14ac:dyDescent="0.25">
      <c r="A527" t="str">
        <f>"IHN-10017R"</f>
        <v>IHN-10017R</v>
      </c>
      <c r="B527" t="str">
        <f>"IHN, Pendeldownlight, AGL max.30W E27, Glas zyl. rot, 1,5m Kabell. trans."</f>
        <v>IHN, Pendeldownlight, AGL max.30W E27, Glas zyl. rot, 1,5m Kabell. trans.</v>
      </c>
      <c r="C527" t="str">
        <f t="shared" si="27"/>
        <v>145</v>
      </c>
      <c r="D527" s="1">
        <v>169</v>
      </c>
    </row>
    <row r="528" spans="1:4" x14ac:dyDescent="0.25">
      <c r="A528" t="str">
        <f>"IHN-10017W"</f>
        <v>IHN-10017W</v>
      </c>
      <c r="B528" t="str">
        <f>"IHN, Pendeldownlight, AGL max.30W E27, Glas zyl. weiß/opal, 1,5m Kabell. trans."</f>
        <v>IHN, Pendeldownlight, AGL max.30W E27, Glas zyl. weiß/opal, 1,5m Kabell. trans.</v>
      </c>
      <c r="C528" t="str">
        <f t="shared" si="27"/>
        <v>145</v>
      </c>
      <c r="D528" s="1">
        <v>169</v>
      </c>
    </row>
    <row r="529" spans="1:4" x14ac:dyDescent="0.25">
      <c r="A529" t="str">
        <f>"IHN-11007L"</f>
        <v>IHN-11007L</v>
      </c>
      <c r="B529" t="str">
        <f>"IHN, Pendeldownlight, AGL max.30W E27, Glas limette, 1,5m Kabell. trans."</f>
        <v>IHN, Pendeldownlight, AGL max.30W E27, Glas limette, 1,5m Kabell. trans.</v>
      </c>
      <c r="C529" t="str">
        <f t="shared" si="27"/>
        <v>145</v>
      </c>
      <c r="D529" s="1">
        <v>126</v>
      </c>
    </row>
    <row r="530" spans="1:4" x14ac:dyDescent="0.25">
      <c r="A530" t="str">
        <f>"IHN-11007O"</f>
        <v>IHN-11007O</v>
      </c>
      <c r="B530" t="str">
        <f>"IHN, Pendeldownlight, AGL max.30W E27, Glas orange, 1,5m Kabell. trans."</f>
        <v>IHN, Pendeldownlight, AGL max.30W E27, Glas orange, 1,5m Kabell. trans.</v>
      </c>
      <c r="C530" t="str">
        <f t="shared" si="27"/>
        <v>145</v>
      </c>
      <c r="D530" s="1">
        <v>126</v>
      </c>
    </row>
    <row r="531" spans="1:4" x14ac:dyDescent="0.25">
      <c r="A531" t="str">
        <f>"IHN-11007R"</f>
        <v>IHN-11007R</v>
      </c>
      <c r="B531" t="str">
        <f>"IHN, Pendeldownlight, AGL max.30W E27, Glas rot, 1,5m Kabell. trans."</f>
        <v>IHN, Pendeldownlight, AGL max.30W E27, Glas rot, 1,5m Kabell. trans.</v>
      </c>
      <c r="C531" t="str">
        <f t="shared" si="27"/>
        <v>145</v>
      </c>
      <c r="D531" s="1">
        <v>126</v>
      </c>
    </row>
    <row r="532" spans="1:4" x14ac:dyDescent="0.25">
      <c r="A532" t="str">
        <f>"IHN-11007W"</f>
        <v>IHN-11007W</v>
      </c>
      <c r="B532" t="str">
        <f>"IHN, Pendeldownlight, AGL max.30W E27, Glas weiß/opal, 1,5m Kabell. trans."</f>
        <v>IHN, Pendeldownlight, AGL max.30W E27, Glas weiß/opal, 1,5m Kabell. trans.</v>
      </c>
      <c r="C532" t="str">
        <f t="shared" si="27"/>
        <v>145</v>
      </c>
      <c r="D532" s="1">
        <v>126</v>
      </c>
    </row>
    <row r="533" spans="1:4" x14ac:dyDescent="0.25">
      <c r="A533" t="str">
        <f>"IHN-11017L"</f>
        <v>IHN-11017L</v>
      </c>
      <c r="B533" t="str">
        <f>"IHN, Pendeldownlight, AGL max.30W E27, Glas limette, 1,5m Kabell. trans."</f>
        <v>IHN, Pendeldownlight, AGL max.30W E27, Glas limette, 1,5m Kabell. trans.</v>
      </c>
      <c r="C533" t="str">
        <f t="shared" si="27"/>
        <v>145</v>
      </c>
      <c r="D533" s="1">
        <v>126</v>
      </c>
    </row>
    <row r="534" spans="1:4" x14ac:dyDescent="0.25">
      <c r="A534" t="str">
        <f>"IHN-11017O"</f>
        <v>IHN-11017O</v>
      </c>
      <c r="B534" t="str">
        <f>"IHN, Pendeldownlight, AGL max.30W E27, Glas orange, 1,5m Kabell. trans."</f>
        <v>IHN, Pendeldownlight, AGL max.30W E27, Glas orange, 1,5m Kabell. trans.</v>
      </c>
      <c r="C534" t="str">
        <f t="shared" si="27"/>
        <v>145</v>
      </c>
      <c r="D534" s="1">
        <v>126</v>
      </c>
    </row>
    <row r="535" spans="1:4" x14ac:dyDescent="0.25">
      <c r="A535" t="str">
        <f>"IHN-11017R"</f>
        <v>IHN-11017R</v>
      </c>
      <c r="B535" t="str">
        <f>"IHN, Pendeldownlight, AGL max.30W E27, Glas rot, 1,5m Kabell. trans."</f>
        <v>IHN, Pendeldownlight, AGL max.30W E27, Glas rot, 1,5m Kabell. trans.</v>
      </c>
      <c r="C535" t="str">
        <f t="shared" si="27"/>
        <v>145</v>
      </c>
      <c r="D535" s="1">
        <v>126</v>
      </c>
    </row>
    <row r="536" spans="1:4" x14ac:dyDescent="0.25">
      <c r="A536" t="str">
        <f>"IHN-11017W"</f>
        <v>IHN-11017W</v>
      </c>
      <c r="B536" t="str">
        <f>"IHN, Pendeldownlight, AGL max.30W E27, Glas weiß/opal, 1,5m Kabell. trans."</f>
        <v>IHN, Pendeldownlight, AGL max.30W E27, Glas weiß/opal, 1,5m Kabell. trans.</v>
      </c>
      <c r="C536" t="str">
        <f t="shared" si="27"/>
        <v>145</v>
      </c>
      <c r="D536" s="1">
        <v>126</v>
      </c>
    </row>
    <row r="537" spans="1:4" x14ac:dyDescent="0.25">
      <c r="A537" t="str">
        <f>"IVI-230WW11"</f>
        <v>IVI-230WW11</v>
      </c>
      <c r="B537" t="str">
        <f>"IVINA, Schienenstrahler, CoB LED, 56W, 24°, 3000K, Gehäuse weiß"</f>
        <v>IVINA, Schienenstrahler, CoB LED, 56W, 24°, 3000K, Gehäuse weiß</v>
      </c>
      <c r="C537" t="str">
        <f t="shared" ref="C537:C542" si="28">"19"</f>
        <v>19</v>
      </c>
      <c r="D537" s="1">
        <v>262.5</v>
      </c>
    </row>
    <row r="538" spans="1:4" x14ac:dyDescent="0.25">
      <c r="A538" t="str">
        <f>"IVI-230WW11F"</f>
        <v>IVI-230WW11F</v>
      </c>
      <c r="B538" t="str">
        <f>"IVINA, Schienenstrahler, CoB LED, 56W, 40°, 3000K, Gehäuse weiß"</f>
        <v>IVINA, Schienenstrahler, CoB LED, 56W, 40°, 3000K, Gehäuse weiß</v>
      </c>
      <c r="C538" t="str">
        <f t="shared" si="28"/>
        <v>19</v>
      </c>
      <c r="D538" s="1">
        <v>262.5</v>
      </c>
    </row>
    <row r="539" spans="1:4" x14ac:dyDescent="0.25">
      <c r="A539" t="str">
        <f>"IVI-230WW11S"</f>
        <v>IVI-230WW11S</v>
      </c>
      <c r="B539" t="str">
        <f>"IVINA, Schienenstrahler, CoB LED, 56W, 12°, 3000K, Gehäuse weiß"</f>
        <v>IVINA, Schienenstrahler, CoB LED, 56W, 12°, 3000K, Gehäuse weiß</v>
      </c>
      <c r="C539" t="str">
        <f t="shared" si="28"/>
        <v>19</v>
      </c>
      <c r="D539" s="1">
        <v>262.5</v>
      </c>
    </row>
    <row r="540" spans="1:4" x14ac:dyDescent="0.25">
      <c r="A540" t="str">
        <f>"IVI-230WW12"</f>
        <v>IVI-230WW12</v>
      </c>
      <c r="B540" t="str">
        <f>"IVINA, Schienenstrahler, CoB LED, 56W, 24°, 3000K, Gehäuse schwarz"</f>
        <v>IVINA, Schienenstrahler, CoB LED, 56W, 24°, 3000K, Gehäuse schwarz</v>
      </c>
      <c r="C540" t="str">
        <f t="shared" si="28"/>
        <v>19</v>
      </c>
      <c r="D540" s="1">
        <v>262.5</v>
      </c>
    </row>
    <row r="541" spans="1:4" x14ac:dyDescent="0.25">
      <c r="A541" t="str">
        <f>"IVI-230WW12F"</f>
        <v>IVI-230WW12F</v>
      </c>
      <c r="B541" t="str">
        <f>"IVINA, Schienenstrahler, CoB LED, 56W, 40°, 3000K, Gehäuse schwarz"</f>
        <v>IVINA, Schienenstrahler, CoB LED, 56W, 40°, 3000K, Gehäuse schwarz</v>
      </c>
      <c r="C541" t="str">
        <f t="shared" si="28"/>
        <v>19</v>
      </c>
      <c r="D541" s="1">
        <v>262.5</v>
      </c>
    </row>
    <row r="542" spans="1:4" x14ac:dyDescent="0.25">
      <c r="A542" t="str">
        <f>"IVI-230WW12S"</f>
        <v>IVI-230WW12S</v>
      </c>
      <c r="B542" t="str">
        <f>"IVINA, Schienenstrahler, CoB LED, 56W, 12°, 3000K, Gehäuse schwarz"</f>
        <v>IVINA, Schienenstrahler, CoB LED, 56W, 12°, 3000K, Gehäuse schwarz</v>
      </c>
      <c r="C542" t="str">
        <f t="shared" si="28"/>
        <v>19</v>
      </c>
      <c r="D542" s="1">
        <v>262.5</v>
      </c>
    </row>
    <row r="543" spans="1:4" x14ac:dyDescent="0.25">
      <c r="A543" t="str">
        <f>"JEN-END"</f>
        <v>JEN-END</v>
      </c>
      <c r="B543" t="str">
        <f>"JEN Endplattenpaar, Alu Druckguß"</f>
        <v>JEN Endplattenpaar, Alu Druckguß</v>
      </c>
      <c r="C543" t="str">
        <f>"53"</f>
        <v>53</v>
      </c>
      <c r="D543" s="1">
        <v>9</v>
      </c>
    </row>
    <row r="544" spans="1:4" x14ac:dyDescent="0.25">
      <c r="A544" t="str">
        <f>"JEN-GTLED-18WW"</f>
        <v>JEN-GTLED-18WW</v>
      </c>
      <c r="B544" t="str">
        <f>"JEN Leuchteneinsatz linear, LED, 17W, 3000K, alu"</f>
        <v>JEN Leuchteneinsatz linear, LED, 17W, 3000K, alu</v>
      </c>
      <c r="C544" t="str">
        <f t="shared" ref="C544:C554" si="29">"54"</f>
        <v>54</v>
      </c>
      <c r="D544" s="1">
        <v>188.25</v>
      </c>
    </row>
    <row r="545" spans="1:4" x14ac:dyDescent="0.25">
      <c r="A545" t="str">
        <f>"JEN-GTLED-18WW-DALI"</f>
        <v>JEN-GTLED-18WW-DALI</v>
      </c>
      <c r="B545" t="str">
        <f>"JEN Leuchteneinsatz linear, LED, 17W, 3000K, DALI, alu"</f>
        <v>JEN Leuchteneinsatz linear, LED, 17W, 3000K, DALI, alu</v>
      </c>
      <c r="C545" t="str">
        <f t="shared" si="29"/>
        <v>54</v>
      </c>
      <c r="D545" s="1">
        <v>262.5</v>
      </c>
    </row>
    <row r="546" spans="1:4" x14ac:dyDescent="0.25">
      <c r="A546" t="str">
        <f>"JEN-GTLED-27WW"</f>
        <v>JEN-GTLED-27WW</v>
      </c>
      <c r="B546" t="str">
        <f>"JEN Leuchteneinsatz linear, LED, 26W, 3000K, alu"</f>
        <v>JEN Leuchteneinsatz linear, LED, 26W, 3000K, alu</v>
      </c>
      <c r="C546" t="str">
        <f t="shared" si="29"/>
        <v>54</v>
      </c>
      <c r="D546" s="1">
        <v>195.25</v>
      </c>
    </row>
    <row r="547" spans="1:4" x14ac:dyDescent="0.25">
      <c r="A547" t="str">
        <f>"JEN-GTLED-27WW-DALI"</f>
        <v>JEN-GTLED-27WW-DALI</v>
      </c>
      <c r="B547" t="str">
        <f>"JEN Leuchteneinsatz linear, LED, 26W, 3000K, DALI, alu"</f>
        <v>JEN Leuchteneinsatz linear, LED, 26W, 3000K, DALI, alu</v>
      </c>
      <c r="C547" t="str">
        <f t="shared" si="29"/>
        <v>54</v>
      </c>
      <c r="D547" s="1">
        <v>267.5</v>
      </c>
    </row>
    <row r="548" spans="1:4" x14ac:dyDescent="0.25">
      <c r="A548" t="str">
        <f>"JEN-GTLED-27WWDV"</f>
        <v>JEN-GTLED-27WWDV</v>
      </c>
      <c r="B548" t="str">
        <f>"JEN Leuchteneinsatz linear, LED, 26W, 3000K, DV, alu"</f>
        <v>JEN Leuchteneinsatz linear, LED, 26W, 3000K, DV, alu</v>
      </c>
      <c r="C548" t="str">
        <f t="shared" si="29"/>
        <v>54</v>
      </c>
      <c r="D548" s="1">
        <v>195.25</v>
      </c>
    </row>
    <row r="549" spans="1:4" x14ac:dyDescent="0.25">
      <c r="A549" t="str">
        <f>"JEN-GTLED-33WW"</f>
        <v>JEN-GTLED-33WW</v>
      </c>
      <c r="B549" t="str">
        <f>"JEN Leuchteneinsatz linear, LED, 34W, 3000K, alu"</f>
        <v>JEN Leuchteneinsatz linear, LED, 34W, 3000K, alu</v>
      </c>
      <c r="C549" t="str">
        <f t="shared" si="29"/>
        <v>54</v>
      </c>
      <c r="D549" s="1">
        <v>202.5</v>
      </c>
    </row>
    <row r="550" spans="1:4" x14ac:dyDescent="0.25">
      <c r="A550" t="str">
        <f>"JEN-GTLED-33WW-DALI"</f>
        <v>JEN-GTLED-33WW-DALI</v>
      </c>
      <c r="B550" t="str">
        <f>"JEN Leuchteneinsatz linear, LED, 34W, 3000K, DALI, alu"</f>
        <v>JEN Leuchteneinsatz linear, LED, 34W, 3000K, DALI, alu</v>
      </c>
      <c r="C550" t="str">
        <f t="shared" si="29"/>
        <v>54</v>
      </c>
      <c r="D550" s="1">
        <v>277.5</v>
      </c>
    </row>
    <row r="551" spans="1:4" x14ac:dyDescent="0.25">
      <c r="A551" t="str">
        <f>"JEN-GTLED-33WWDV"</f>
        <v>JEN-GTLED-33WWDV</v>
      </c>
      <c r="B551" t="str">
        <f>"JEN Leuchteneinsatz linear, LED, 34W, 3000K, DV alu"</f>
        <v>JEN Leuchteneinsatz linear, LED, 34W, 3000K, DV alu</v>
      </c>
      <c r="C551" t="str">
        <f t="shared" si="29"/>
        <v>54</v>
      </c>
      <c r="D551" s="1">
        <v>202.5</v>
      </c>
    </row>
    <row r="552" spans="1:4" x14ac:dyDescent="0.25">
      <c r="A552" t="str">
        <f>"JEN-GTLED-45WW"</f>
        <v>JEN-GTLED-45WW</v>
      </c>
      <c r="B552" t="str">
        <f>"JEN Leuchteneinsatz linear, LED, 44W, 3000K, alu"</f>
        <v>JEN Leuchteneinsatz linear, LED, 44W, 3000K, alu</v>
      </c>
      <c r="C552" t="str">
        <f t="shared" si="29"/>
        <v>54</v>
      </c>
      <c r="D552" s="1">
        <v>220</v>
      </c>
    </row>
    <row r="553" spans="1:4" x14ac:dyDescent="0.25">
      <c r="A553" t="str">
        <f>"JEN-GTLED-45WW-DALI"</f>
        <v>JEN-GTLED-45WW-DALI</v>
      </c>
      <c r="B553" t="str">
        <f>"JEN Leuchteneinsatz linear, LED, 44W, 3000K, DALI, alu"</f>
        <v>JEN Leuchteneinsatz linear, LED, 44W, 3000K, DALI, alu</v>
      </c>
      <c r="C553" t="str">
        <f t="shared" si="29"/>
        <v>54</v>
      </c>
      <c r="D553" s="1">
        <v>295</v>
      </c>
    </row>
    <row r="554" spans="1:4" x14ac:dyDescent="0.25">
      <c r="A554" t="str">
        <f>"JEN-GTLED-45WWDV"</f>
        <v>JEN-GTLED-45WWDV</v>
      </c>
      <c r="B554" t="str">
        <f>"JEN Leuchteneinsatz linear, LED, 44W, 3000K, DV, alu"</f>
        <v>JEN Leuchteneinsatz linear, LED, 44W, 3000K, DV, alu</v>
      </c>
      <c r="C554" t="str">
        <f t="shared" si="29"/>
        <v>54</v>
      </c>
      <c r="D554" s="1">
        <v>220</v>
      </c>
    </row>
    <row r="555" spans="1:4" x14ac:dyDescent="0.25">
      <c r="A555" t="str">
        <f>"JEN-LK-GU10"</f>
        <v>JEN-LK-GU10</v>
      </c>
      <c r="B555" t="str">
        <f>"JEN Leuchtenkopf GU10 Fassung"</f>
        <v>JEN Leuchtenkopf GU10 Fassung</v>
      </c>
      <c r="C555" t="str">
        <f>"55"</f>
        <v>55</v>
      </c>
      <c r="D555" s="1">
        <v>46.25</v>
      </c>
    </row>
    <row r="556" spans="1:4" x14ac:dyDescent="0.25">
      <c r="A556" t="str">
        <f>"JEN-LK-T111-41NW92"</f>
        <v>JEN-LK-T111-41NW92</v>
      </c>
      <c r="B556" t="str">
        <f>"JEN Leuchtenkopf mit T111 Modul "</f>
        <v xml:space="preserve">JEN Leuchtenkopf mit T111 Modul </v>
      </c>
      <c r="C556" t="str">
        <f>"55"</f>
        <v>55</v>
      </c>
      <c r="D556" s="1">
        <v>207.5</v>
      </c>
    </row>
    <row r="557" spans="1:4" x14ac:dyDescent="0.25">
      <c r="A557" t="str">
        <f>"JEN-LK-T111-41WW92"</f>
        <v>JEN-LK-T111-41WW92</v>
      </c>
      <c r="B557" t="str">
        <f>"JEN Leuchtenkopf mit T111 Modul "</f>
        <v xml:space="preserve">JEN Leuchtenkopf mit T111 Modul </v>
      </c>
      <c r="C557" t="str">
        <f>"55"</f>
        <v>55</v>
      </c>
      <c r="D557" s="1">
        <v>207.5</v>
      </c>
    </row>
    <row r="558" spans="1:4" x14ac:dyDescent="0.25">
      <c r="A558" t="str">
        <f>"JEN-P"</f>
        <v>JEN-P</v>
      </c>
      <c r="B558" t="str">
        <f>"JEN 4-fache Stahlseilabhängung 2000mm, inkl. Zuleitung"</f>
        <v>JEN 4-fache Stahlseilabhängung 2000mm, inkl. Zuleitung</v>
      </c>
      <c r="C558" t="str">
        <f>"53"</f>
        <v>53</v>
      </c>
      <c r="D558" s="1">
        <v>72.5</v>
      </c>
    </row>
    <row r="559" spans="1:4" x14ac:dyDescent="0.25">
      <c r="A559" t="str">
        <f>"JEN-S"</f>
        <v>JEN-S</v>
      </c>
      <c r="B559" t="str">
        <f>"JEN 2-fach Stahlseilabhängung einzeln 2000mm"</f>
        <v>JEN 2-fach Stahlseilabhängung einzeln 2000mm</v>
      </c>
      <c r="C559" t="str">
        <f>"53"</f>
        <v>53</v>
      </c>
      <c r="D559" s="1">
        <v>40</v>
      </c>
    </row>
    <row r="560" spans="1:4" x14ac:dyDescent="0.25">
      <c r="A560" t="str">
        <f>"JEN-X"</f>
        <v>JEN-X</v>
      </c>
      <c r="B560" t="str">
        <f>"JEN Aluminiumprofil, Länge xxx"</f>
        <v>JEN Aluminiumprofil, Länge xxx</v>
      </c>
      <c r="C560" t="str">
        <f>"53"</f>
        <v>53</v>
      </c>
      <c r="D560" s="1">
        <v>53.25</v>
      </c>
    </row>
    <row r="561" spans="1:4" x14ac:dyDescent="0.25">
      <c r="A561" t="str">
        <f>"JULE-GT-P-6"</f>
        <v>JULE-GT-P-6</v>
      </c>
      <c r="B561" t="str">
        <f>"Geräteprofil JULE LED, Profil Aluminium pulverbeschichtet 6020 mm"</f>
        <v>Geräteprofil JULE LED, Profil Aluminium pulverbeschichtet 6020 mm</v>
      </c>
      <c r="C561" t="str">
        <f>"119"</f>
        <v>119</v>
      </c>
      <c r="D561" s="1">
        <v>0</v>
      </c>
    </row>
    <row r="562" spans="1:4" x14ac:dyDescent="0.25">
      <c r="A562" t="str">
        <f>"JULE-LK-P-6"</f>
        <v>JULE-LK-P-6</v>
      </c>
      <c r="B562" t="str">
        <f>"Leuchtenkörper JULE LED, Profil Aluminium pulverbeschichtet 6020 mm"</f>
        <v>Leuchtenkörper JULE LED, Profil Aluminium pulverbeschichtet 6020 mm</v>
      </c>
      <c r="C562" t="str">
        <f>"119"</f>
        <v>119</v>
      </c>
      <c r="D562" s="1">
        <v>0</v>
      </c>
    </row>
    <row r="563" spans="1:4" x14ac:dyDescent="0.25">
      <c r="A563" t="str">
        <f>"K3-1NW1B"</f>
        <v>K3-1NW1B</v>
      </c>
      <c r="B563" t="str">
        <f>"1041BI4K K3 Miniled LED1x3W 70° 4000K weiß"</f>
        <v>1041BI4K K3 Miniled LED1x3W 70° 4000K weiß</v>
      </c>
      <c r="C563" t="str">
        <f>"191"</f>
        <v>191</v>
      </c>
      <c r="D563" s="1">
        <v>207</v>
      </c>
    </row>
    <row r="564" spans="1:4" x14ac:dyDescent="0.25">
      <c r="A564" t="str">
        <f>"K3-1NW1E"</f>
        <v>K3-1NW1E</v>
      </c>
      <c r="B564" t="str">
        <f>"1040BI4K K3 Miniled LED1x3W 30° 4000K weiß"</f>
        <v>1040BI4K K3 Miniled LED1x3W 30° 4000K weiß</v>
      </c>
      <c r="C564" t="str">
        <f>"191"</f>
        <v>191</v>
      </c>
      <c r="D564" s="1">
        <v>207</v>
      </c>
    </row>
    <row r="565" spans="1:4" x14ac:dyDescent="0.25">
      <c r="A565" t="str">
        <f>"K3-1NW1PB"</f>
        <v>K3-1NW1PB</v>
      </c>
      <c r="B565" t="str">
        <f>"1105BI4K K3 Power LED 9,5W 50° 4000K weiß"</f>
        <v>1105BI4K K3 Power LED 9,5W 50° 4000K weiß</v>
      </c>
      <c r="C565" t="str">
        <f>"193"</f>
        <v>193</v>
      </c>
      <c r="D565" s="1">
        <v>511</v>
      </c>
    </row>
    <row r="566" spans="1:4" x14ac:dyDescent="0.25">
      <c r="A566" t="str">
        <f>"K3-1NW1PE"</f>
        <v>K3-1NW1PE</v>
      </c>
      <c r="B566" t="str">
        <f>"1102BI4K K3 Power LED 9,5W 20° 4000K weiß"</f>
        <v>1102BI4K K3 Power LED 9,5W 20° 4000K weiß</v>
      </c>
      <c r="C566" t="str">
        <f>"193"</f>
        <v>193</v>
      </c>
      <c r="D566" s="1">
        <v>511</v>
      </c>
    </row>
    <row r="567" spans="1:4" x14ac:dyDescent="0.25">
      <c r="A567" t="str">
        <f>"K3-1NW1WB"</f>
        <v>K3-1NW1WB</v>
      </c>
      <c r="B567" t="str">
        <f>"1004BI4K K3 WRITER LED 6,4W 70° 4000K weiß"</f>
        <v>1004BI4K K3 WRITER LED 6,4W 70° 4000K weiß</v>
      </c>
      <c r="C567" t="str">
        <f>"189"</f>
        <v>189</v>
      </c>
      <c r="D567" s="1">
        <v>483</v>
      </c>
    </row>
    <row r="568" spans="1:4" x14ac:dyDescent="0.25">
      <c r="A568" t="str">
        <f>"K3-1NW6B"</f>
        <v>K3-1NW6B</v>
      </c>
      <c r="B568" t="str">
        <f>"1041GR4K K3 Miniled LED1x3W 70° 4000K graphitgrau"</f>
        <v>1041GR4K K3 Miniled LED1x3W 70° 4000K graphitgrau</v>
      </c>
      <c r="C568" t="str">
        <f>"191"</f>
        <v>191</v>
      </c>
      <c r="D568" s="1">
        <v>207</v>
      </c>
    </row>
    <row r="569" spans="1:4" x14ac:dyDescent="0.25">
      <c r="A569" t="str">
        <f>"K3-1NW6E"</f>
        <v>K3-1NW6E</v>
      </c>
      <c r="B569" t="str">
        <f>"1040GR4K K3 Miniled LED1x3W 30° 4000K graphitgrau"</f>
        <v>1040GR4K K3 Miniled LED1x3W 30° 4000K graphitgrau</v>
      </c>
      <c r="C569" t="str">
        <f>"191"</f>
        <v>191</v>
      </c>
      <c r="D569" s="1">
        <v>207</v>
      </c>
    </row>
    <row r="570" spans="1:4" x14ac:dyDescent="0.25">
      <c r="A570" t="str">
        <f>"K3-1NW6PB"</f>
        <v>K3-1NW6PB</v>
      </c>
      <c r="B570" t="str">
        <f>"1105GR4K K3 Power LED 9,5W 50° 4000K graphitgrau"</f>
        <v>1105GR4K K3 Power LED 9,5W 50° 4000K graphitgrau</v>
      </c>
      <c r="C570" t="str">
        <f>"193"</f>
        <v>193</v>
      </c>
      <c r="D570" s="1">
        <v>511</v>
      </c>
    </row>
    <row r="571" spans="1:4" x14ac:dyDescent="0.25">
      <c r="A571" t="str">
        <f>"K3-1NW6PE"</f>
        <v>K3-1NW6PE</v>
      </c>
      <c r="B571" t="str">
        <f>"1102GR4K K3 Power LED 9,5W 20° 4000K graphitgrau"</f>
        <v>1102GR4K K3 Power LED 9,5W 20° 4000K graphitgrau</v>
      </c>
      <c r="C571" t="str">
        <f>"193"</f>
        <v>193</v>
      </c>
      <c r="D571" s="1">
        <v>511</v>
      </c>
    </row>
    <row r="572" spans="1:4" x14ac:dyDescent="0.25">
      <c r="A572" t="str">
        <f>"K3-1NW6WB"</f>
        <v>K3-1NW6WB</v>
      </c>
      <c r="B572" t="str">
        <f>"1004GR4K K3 WRITER LED 6,4W 70° 4000K weiß"</f>
        <v>1004GR4K K3 WRITER LED 6,4W 70° 4000K weiß</v>
      </c>
      <c r="C572" t="str">
        <f>"189"</f>
        <v>189</v>
      </c>
      <c r="D572" s="1">
        <v>483</v>
      </c>
    </row>
    <row r="573" spans="1:4" x14ac:dyDescent="0.25">
      <c r="A573" t="str">
        <f>"K3-1NW7B"</f>
        <v>K3-1NW7B</v>
      </c>
      <c r="B573" t="str">
        <f>"1041GM4K K3 Miniled LED1x3W 70° 4000K metallgrau"</f>
        <v>1041GM4K K3 Miniled LED1x3W 70° 4000K metallgrau</v>
      </c>
      <c r="C573" t="str">
        <f>"191"</f>
        <v>191</v>
      </c>
      <c r="D573" s="1">
        <v>207</v>
      </c>
    </row>
    <row r="574" spans="1:4" x14ac:dyDescent="0.25">
      <c r="A574" t="str">
        <f>"K3-1NW7E"</f>
        <v>K3-1NW7E</v>
      </c>
      <c r="B574" t="str">
        <f>"1040GM4K K3 Miniled LED1x3W 30° 4000K metallgrau"</f>
        <v>1040GM4K K3 Miniled LED1x3W 30° 4000K metallgrau</v>
      </c>
      <c r="C574" t="str">
        <f>"191"</f>
        <v>191</v>
      </c>
      <c r="D574" s="1">
        <v>207</v>
      </c>
    </row>
    <row r="575" spans="1:4" x14ac:dyDescent="0.25">
      <c r="A575" t="str">
        <f>"K3-1NW7PB"</f>
        <v>K3-1NW7PB</v>
      </c>
      <c r="B575" t="str">
        <f>"1105GM4K K3 Power LED 9,5W 50° 4000K metallgrau"</f>
        <v>1105GM4K K3 Power LED 9,5W 50° 4000K metallgrau</v>
      </c>
      <c r="C575" t="str">
        <f>"193"</f>
        <v>193</v>
      </c>
      <c r="D575" s="1">
        <v>511</v>
      </c>
    </row>
    <row r="576" spans="1:4" x14ac:dyDescent="0.25">
      <c r="A576" t="str">
        <f>"K3-1NW7PE"</f>
        <v>K3-1NW7PE</v>
      </c>
      <c r="B576" t="str">
        <f>"1102GM4K K3 Power LED 9,5W 20° 4000K metallgrau"</f>
        <v>1102GM4K K3 Power LED 9,5W 20° 4000K metallgrau</v>
      </c>
      <c r="C576" t="str">
        <f>"193"</f>
        <v>193</v>
      </c>
      <c r="D576" s="1">
        <v>511</v>
      </c>
    </row>
    <row r="577" spans="1:4" x14ac:dyDescent="0.25">
      <c r="A577" t="str">
        <f>"K3-1NW7WB"</f>
        <v>K3-1NW7WB</v>
      </c>
      <c r="B577" t="str">
        <f>"1004GM4K K3 WRITER LED 6,4W 70° 4000K metallgrau"</f>
        <v>1004GM4K K3 WRITER LED 6,4W 70° 4000K metallgrau</v>
      </c>
      <c r="C577" t="str">
        <f>"86"</f>
        <v>86</v>
      </c>
      <c r="D577" s="1">
        <v>483</v>
      </c>
    </row>
    <row r="578" spans="1:4" x14ac:dyDescent="0.25">
      <c r="A578" t="str">
        <f>"K3-1WW1B"</f>
        <v>K3-1WW1B</v>
      </c>
      <c r="B578" t="str">
        <f>"1041BI3K K3 Miniled LED1x3W 70° 3000K weiß"</f>
        <v>1041BI3K K3 Miniled LED1x3W 70° 3000K weiß</v>
      </c>
      <c r="C578" t="str">
        <f>"191"</f>
        <v>191</v>
      </c>
      <c r="D578" s="1">
        <v>207</v>
      </c>
    </row>
    <row r="579" spans="1:4" x14ac:dyDescent="0.25">
      <c r="A579" t="str">
        <f>"K3-1WW1E"</f>
        <v>K3-1WW1E</v>
      </c>
      <c r="B579" t="str">
        <f>"1040BI3K K3 Miniled LED1x3W 30° 3000K weiß"</f>
        <v>1040BI3K K3 Miniled LED1x3W 30° 3000K weiß</v>
      </c>
      <c r="C579" t="str">
        <f>"191"</f>
        <v>191</v>
      </c>
      <c r="D579" s="1">
        <v>207</v>
      </c>
    </row>
    <row r="580" spans="1:4" x14ac:dyDescent="0.25">
      <c r="A580" t="str">
        <f>"K3-1WW1PB"</f>
        <v>K3-1WW1PB</v>
      </c>
      <c r="B580" t="str">
        <f>"1105BI3K K3 Power LED 9,5W 50° 3000K weiß"</f>
        <v>1105BI3K K3 Power LED 9,5W 50° 3000K weiß</v>
      </c>
      <c r="C580" t="str">
        <f>"193"</f>
        <v>193</v>
      </c>
      <c r="D580" s="1">
        <v>511</v>
      </c>
    </row>
    <row r="581" spans="1:4" x14ac:dyDescent="0.25">
      <c r="A581" t="str">
        <f>"K3-1WW1PE"</f>
        <v>K3-1WW1PE</v>
      </c>
      <c r="B581" t="str">
        <f>"1102BI3K K3 Power LED 9,5W 20° 3000K weiß"</f>
        <v>1102BI3K K3 Power LED 9,5W 20° 3000K weiß</v>
      </c>
      <c r="C581" t="str">
        <f>"193"</f>
        <v>193</v>
      </c>
      <c r="D581" s="1">
        <v>511</v>
      </c>
    </row>
    <row r="582" spans="1:4" x14ac:dyDescent="0.25">
      <c r="A582" t="str">
        <f>"K3-1WW1WB"</f>
        <v>K3-1WW1WB</v>
      </c>
      <c r="B582" t="str">
        <f>"1004BI3K K3 WRITER LED 6,4W 70° 3000K weiß"</f>
        <v>1004BI3K K3 WRITER LED 6,4W 70° 3000K weiß</v>
      </c>
      <c r="C582" t="str">
        <f>"189"</f>
        <v>189</v>
      </c>
      <c r="D582" s="1">
        <v>483</v>
      </c>
    </row>
    <row r="583" spans="1:4" x14ac:dyDescent="0.25">
      <c r="A583" t="str">
        <f>"K3-1WW6B"</f>
        <v>K3-1WW6B</v>
      </c>
      <c r="B583" t="str">
        <f>"1041GR3K K3 Miniled LED1x3W 70° 3000K graphitgrau"</f>
        <v>1041GR3K K3 Miniled LED1x3W 70° 3000K graphitgrau</v>
      </c>
      <c r="C583" t="str">
        <f>"191"</f>
        <v>191</v>
      </c>
      <c r="D583" s="1">
        <v>207</v>
      </c>
    </row>
    <row r="584" spans="1:4" x14ac:dyDescent="0.25">
      <c r="A584" t="str">
        <f>"K3-1WW6E"</f>
        <v>K3-1WW6E</v>
      </c>
      <c r="B584" t="str">
        <f>"1040GR3K K3 Miniled LED1x3W 30° 3000K graphitgrau"</f>
        <v>1040GR3K K3 Miniled LED1x3W 30° 3000K graphitgrau</v>
      </c>
      <c r="C584" t="str">
        <f>"191"</f>
        <v>191</v>
      </c>
      <c r="D584" s="1">
        <v>207</v>
      </c>
    </row>
    <row r="585" spans="1:4" x14ac:dyDescent="0.25">
      <c r="A585" t="str">
        <f>"K3-1WW6PB"</f>
        <v>K3-1WW6PB</v>
      </c>
      <c r="B585" t="str">
        <f>"1105GR3K K3 Power LED 9,5W 50° 3000K graphitgrau"</f>
        <v>1105GR3K K3 Power LED 9,5W 50° 3000K graphitgrau</v>
      </c>
      <c r="C585" t="str">
        <f>"193"</f>
        <v>193</v>
      </c>
      <c r="D585" s="1">
        <v>511</v>
      </c>
    </row>
    <row r="586" spans="1:4" x14ac:dyDescent="0.25">
      <c r="A586" t="str">
        <f>"K3-1WW6PE"</f>
        <v>K3-1WW6PE</v>
      </c>
      <c r="B586" t="str">
        <f>"1102GR3K K3 Power LED 9,5W 20° 3000K graphitgrau"</f>
        <v>1102GR3K K3 Power LED 9,5W 20° 3000K graphitgrau</v>
      </c>
      <c r="C586" t="str">
        <f>"193"</f>
        <v>193</v>
      </c>
      <c r="D586" s="1">
        <v>511</v>
      </c>
    </row>
    <row r="587" spans="1:4" x14ac:dyDescent="0.25">
      <c r="A587" t="str">
        <f>"K3-1WW6WB"</f>
        <v>K3-1WW6WB</v>
      </c>
      <c r="B587" t="str">
        <f>"1004GR3K K3 WRITER LED 6,4W 70° 3000K graphitgrau"</f>
        <v>1004GR3K K3 WRITER LED 6,4W 70° 3000K graphitgrau</v>
      </c>
      <c r="C587" t="str">
        <f>"189"</f>
        <v>189</v>
      </c>
      <c r="D587" s="1">
        <v>483</v>
      </c>
    </row>
    <row r="588" spans="1:4" x14ac:dyDescent="0.25">
      <c r="A588" t="str">
        <f>"K3-1WW7B"</f>
        <v>K3-1WW7B</v>
      </c>
      <c r="B588" t="str">
        <f>"1041GM3K K3 Miniled LED1x3W 70° 3000K metallgrau"</f>
        <v>1041GM3K K3 Miniled LED1x3W 70° 3000K metallgrau</v>
      </c>
      <c r="C588" t="str">
        <f>"191"</f>
        <v>191</v>
      </c>
      <c r="D588" s="1">
        <v>207</v>
      </c>
    </row>
    <row r="589" spans="1:4" x14ac:dyDescent="0.25">
      <c r="A589" t="str">
        <f>"K3-1WW7E"</f>
        <v>K3-1WW7E</v>
      </c>
      <c r="B589" t="str">
        <f>"1040GM3K K3 Miniled LED1x3W 30° 3000K metallgrau"</f>
        <v>1040GM3K K3 Miniled LED1x3W 30° 3000K metallgrau</v>
      </c>
      <c r="C589" t="str">
        <f>"191"</f>
        <v>191</v>
      </c>
      <c r="D589" s="1">
        <v>207</v>
      </c>
    </row>
    <row r="590" spans="1:4" x14ac:dyDescent="0.25">
      <c r="A590" t="str">
        <f>"K3-1WW7PB"</f>
        <v>K3-1WW7PB</v>
      </c>
      <c r="B590" t="str">
        <f>"1105GM3K K3 Power LED 9,5W 50° 3000K metallgrau"</f>
        <v>1105GM3K K3 Power LED 9,5W 50° 3000K metallgrau</v>
      </c>
      <c r="C590" t="str">
        <f>"193"</f>
        <v>193</v>
      </c>
      <c r="D590" s="1">
        <v>511</v>
      </c>
    </row>
    <row r="591" spans="1:4" x14ac:dyDescent="0.25">
      <c r="A591" t="str">
        <f>"K3-1WW7PE"</f>
        <v>K3-1WW7PE</v>
      </c>
      <c r="B591" t="str">
        <f>"1102GM3K K3 Power LED 9,5W 20° 3000K metallgrau"</f>
        <v>1102GM3K K3 Power LED 9,5W 20° 3000K metallgrau</v>
      </c>
      <c r="C591" t="str">
        <f>"193"</f>
        <v>193</v>
      </c>
      <c r="D591" s="1">
        <v>511</v>
      </c>
    </row>
    <row r="592" spans="1:4" x14ac:dyDescent="0.25">
      <c r="A592" t="str">
        <f>"K3-1WW7WB"</f>
        <v>K3-1WW7WB</v>
      </c>
      <c r="B592" t="str">
        <f>"1004GM3K K3 WRITER LED 6,4W 70° 3000K metallgrau"</f>
        <v>1004GM3K K3 WRITER LED 6,4W 70° 3000K metallgrau</v>
      </c>
      <c r="C592" t="str">
        <f>"86"</f>
        <v>86</v>
      </c>
      <c r="D592" s="1">
        <v>483</v>
      </c>
    </row>
    <row r="593" spans="1:4" x14ac:dyDescent="0.25">
      <c r="A593" t="str">
        <f>"K3-2NW1B"</f>
        <v>K3-2NW1B</v>
      </c>
      <c r="B593" t="str">
        <f>"1043BI4K K3 Miniled LED2x3W 70°/70° 4000K weiß"</f>
        <v>1043BI4K K3 Miniled LED2x3W 70°/70° 4000K weiß</v>
      </c>
      <c r="C593" t="str">
        <f>"191"</f>
        <v>191</v>
      </c>
      <c r="D593" s="1">
        <v>253</v>
      </c>
    </row>
    <row r="594" spans="1:4" x14ac:dyDescent="0.25">
      <c r="A594" t="str">
        <f>"K3-2NW1E"</f>
        <v>K3-2NW1E</v>
      </c>
      <c r="B594" t="str">
        <f>"1042BI4K K3 Miniled LED2x3W 30°/30° 4000K weiß"</f>
        <v>1042BI4K K3 Miniled LED2x3W 30°/30° 4000K weiß</v>
      </c>
      <c r="C594" t="str">
        <f>"191"</f>
        <v>191</v>
      </c>
      <c r="D594" s="1">
        <v>255</v>
      </c>
    </row>
    <row r="595" spans="1:4" x14ac:dyDescent="0.25">
      <c r="A595" t="str">
        <f>"K3-2NW1EB"</f>
        <v>K3-2NW1EB</v>
      </c>
      <c r="B595" t="str">
        <f>"1044BI4K K3 Miniled LED2x3W 30°/70° 4000K, weiß"</f>
        <v>1044BI4K K3 Miniled LED2x3W 30°/70° 4000K, weiß</v>
      </c>
      <c r="C595" t="str">
        <f>"191"</f>
        <v>191</v>
      </c>
      <c r="D595" s="1">
        <v>255</v>
      </c>
    </row>
    <row r="596" spans="1:4" x14ac:dyDescent="0.25">
      <c r="A596" t="str">
        <f>"K3-2NW1PB"</f>
        <v>K3-2NW1PB</v>
      </c>
      <c r="B596" t="str">
        <f>"1122BI4K K3 Power LED 2x9,5W 50°/50° 4000K weiß"</f>
        <v>1122BI4K K3 Power LED 2x9,5W 50°/50° 4000K weiß</v>
      </c>
      <c r="C596" t="str">
        <f>"193"</f>
        <v>193</v>
      </c>
      <c r="D596" s="1">
        <v>652.5</v>
      </c>
    </row>
    <row r="597" spans="1:4" x14ac:dyDescent="0.25">
      <c r="A597" t="str">
        <f>"K3-2NW1PE"</f>
        <v>K3-2NW1PE</v>
      </c>
      <c r="B597" t="str">
        <f>"1109BI K3 Power LED 2x9,5W 20°/20° 4000K weiß"</f>
        <v>1109BI K3 Power LED 2x9,5W 20°/20° 4000K weiß</v>
      </c>
      <c r="C597" t="str">
        <f>"193"</f>
        <v>193</v>
      </c>
      <c r="D597" s="1">
        <v>654</v>
      </c>
    </row>
    <row r="598" spans="1:4" x14ac:dyDescent="0.25">
      <c r="A598" t="str">
        <f>"K3-2NW1PEB"</f>
        <v>K3-2NW1PEB</v>
      </c>
      <c r="B598" t="str">
        <f>"1122BI4K K3 Power LED 2x9,5W 20°/50° 4000K weiß"</f>
        <v>1122BI4K K3 Power LED 2x9,5W 20°/50° 4000K weiß</v>
      </c>
      <c r="C598" t="str">
        <f>"193"</f>
        <v>193</v>
      </c>
      <c r="D598" s="1">
        <v>652.5</v>
      </c>
    </row>
    <row r="599" spans="1:4" x14ac:dyDescent="0.25">
      <c r="A599" t="str">
        <f>"K3-2NW1WB"</f>
        <v>K3-2NW1WB</v>
      </c>
      <c r="B599" t="str">
        <f>"1008BI4K K3 WRITER LED 2x6,4W 70°/70° 4000K weiß"</f>
        <v>1008BI4K K3 WRITER LED 2x6,4W 70°/70° 4000K weiß</v>
      </c>
      <c r="C599" t="str">
        <f>"189"</f>
        <v>189</v>
      </c>
      <c r="D599" s="1">
        <v>592.5</v>
      </c>
    </row>
    <row r="600" spans="1:4" x14ac:dyDescent="0.25">
      <c r="A600" t="str">
        <f>"K3-2NW6B"</f>
        <v>K3-2NW6B</v>
      </c>
      <c r="B600" t="str">
        <f>"1043GR4K K3 Miniled LED2x3W 70°/70° 4000K graphitgrau"</f>
        <v>1043GR4K K3 Miniled LED2x3W 70°/70° 4000K graphitgrau</v>
      </c>
      <c r="C600" t="str">
        <f>"191"</f>
        <v>191</v>
      </c>
      <c r="D600" s="1">
        <v>255</v>
      </c>
    </row>
    <row r="601" spans="1:4" x14ac:dyDescent="0.25">
      <c r="A601" t="str">
        <f>"K3-2NW6E"</f>
        <v>K3-2NW6E</v>
      </c>
      <c r="B601" t="str">
        <f>"1042GR4K K3 Miniled LED2x3W 30°/30° 4000K graphitgrau"</f>
        <v>1042GR4K K3 Miniled LED2x3W 30°/30° 4000K graphitgrau</v>
      </c>
      <c r="C601" t="str">
        <f>"191"</f>
        <v>191</v>
      </c>
      <c r="D601" s="1">
        <v>255</v>
      </c>
    </row>
    <row r="602" spans="1:4" x14ac:dyDescent="0.25">
      <c r="A602" t="str">
        <f>"K3-2NW6EB"</f>
        <v>K3-2NW6EB</v>
      </c>
      <c r="B602" t="str">
        <f>"1044GR4K K3 Miniled LED2x3W 30°/70° 4000K graphitgrau"</f>
        <v>1044GR4K K3 Miniled LED2x3W 30°/70° 4000K graphitgrau</v>
      </c>
      <c r="C602" t="str">
        <f>"191"</f>
        <v>191</v>
      </c>
      <c r="D602" s="1">
        <v>255</v>
      </c>
    </row>
    <row r="603" spans="1:4" x14ac:dyDescent="0.25">
      <c r="A603" t="str">
        <f>"K3-2NW6PB"</f>
        <v>K3-2NW6PB</v>
      </c>
      <c r="B603" t="str">
        <f>"1122GR4K K3 Power LED2x9,5W 50°/50° 4000K graphitgrau"</f>
        <v>1122GR4K K3 Power LED2x9,5W 50°/50° 4000K graphitgrau</v>
      </c>
      <c r="C603" t="str">
        <f>"193"</f>
        <v>193</v>
      </c>
      <c r="D603" s="1">
        <v>652.5</v>
      </c>
    </row>
    <row r="604" spans="1:4" x14ac:dyDescent="0.25">
      <c r="A604" t="str">
        <f>"K3-2NW6PE"</f>
        <v>K3-2NW6PE</v>
      </c>
      <c r="B604" t="str">
        <f>"1109GR4K K3 Power LED 2x9,5W 20°/20° 4000K graphitgrau"</f>
        <v>1109GR4K K3 Power LED 2x9,5W 20°/20° 4000K graphitgrau</v>
      </c>
      <c r="C604" t="str">
        <f>"193"</f>
        <v>193</v>
      </c>
      <c r="D604" s="1">
        <v>654</v>
      </c>
    </row>
    <row r="605" spans="1:4" x14ac:dyDescent="0.25">
      <c r="A605" t="str">
        <f>"K3-2NW6PEB"</f>
        <v>K3-2NW6PEB</v>
      </c>
      <c r="B605" t="str">
        <f>"1122GR4K  20+50° K3 Power LED 2x9,5W 20°/50° 4000K graphitgrau"</f>
        <v>1122GR4K  20+50° K3 Power LED 2x9,5W 20°/50° 4000K graphitgrau</v>
      </c>
      <c r="C605" t="str">
        <f>"193"</f>
        <v>193</v>
      </c>
      <c r="D605" s="1">
        <v>652.5</v>
      </c>
    </row>
    <row r="606" spans="1:4" x14ac:dyDescent="0.25">
      <c r="A606" t="str">
        <f>"K3-2NW6WB"</f>
        <v>K3-2NW6WB</v>
      </c>
      <c r="B606" t="str">
        <f>"1008GR4K K3 WRITER LED 2x6,4W 70°/70° 4000K graphitgrau"</f>
        <v>1008GR4K K3 WRITER LED 2x6,4W 70°/70° 4000K graphitgrau</v>
      </c>
      <c r="C606" t="str">
        <f>"189"</f>
        <v>189</v>
      </c>
      <c r="D606" s="1">
        <v>592.5</v>
      </c>
    </row>
    <row r="607" spans="1:4" x14ac:dyDescent="0.25">
      <c r="A607" t="str">
        <f>"K3-2NW7B"</f>
        <v>K3-2NW7B</v>
      </c>
      <c r="B607" t="str">
        <f>"1043GM4K K3 Miniled LED2x3W 70°/70° 4000K metallgrau"</f>
        <v>1043GM4K K3 Miniled LED2x3W 70°/70° 4000K metallgrau</v>
      </c>
      <c r="C607" t="str">
        <f>"191"</f>
        <v>191</v>
      </c>
      <c r="D607" s="1">
        <v>255</v>
      </c>
    </row>
    <row r="608" spans="1:4" x14ac:dyDescent="0.25">
      <c r="A608" t="str">
        <f>"K3-2NW7E"</f>
        <v>K3-2NW7E</v>
      </c>
      <c r="B608" t="str">
        <f>"1042GM4K K3 Miniled LED2x3W 30°/30° 4000K metallgrau"</f>
        <v>1042GM4K K3 Miniled LED2x3W 30°/30° 4000K metallgrau</v>
      </c>
      <c r="C608" t="str">
        <f>"191"</f>
        <v>191</v>
      </c>
      <c r="D608" s="1">
        <v>255</v>
      </c>
    </row>
    <row r="609" spans="1:4" x14ac:dyDescent="0.25">
      <c r="A609" t="str">
        <f>"K3-2NW7EB"</f>
        <v>K3-2NW7EB</v>
      </c>
      <c r="B609" t="str">
        <f>"1044GM4K K3 Miniled LED2x3W 30°/70° 4000K metallgrau"</f>
        <v>1044GM4K K3 Miniled LED2x3W 30°/70° 4000K metallgrau</v>
      </c>
      <c r="C609" t="str">
        <f>"191"</f>
        <v>191</v>
      </c>
      <c r="D609" s="1">
        <v>255</v>
      </c>
    </row>
    <row r="610" spans="1:4" x14ac:dyDescent="0.25">
      <c r="A610" t="str">
        <f>"K3-2NW7PB"</f>
        <v>K3-2NW7PB</v>
      </c>
      <c r="B610" t="str">
        <f>"1122GM4K K3 Power LED 2x9,5W 50°/50° 4000K metallgrau"</f>
        <v>1122GM4K K3 Power LED 2x9,5W 50°/50° 4000K metallgrau</v>
      </c>
      <c r="C610" t="str">
        <f>"193"</f>
        <v>193</v>
      </c>
      <c r="D610" s="1">
        <v>652.5</v>
      </c>
    </row>
    <row r="611" spans="1:4" x14ac:dyDescent="0.25">
      <c r="A611" t="str">
        <f>"K3-2NW7PE"</f>
        <v>K3-2NW7PE</v>
      </c>
      <c r="B611" t="str">
        <f>"1109GM K3 Power LED 2x9,5W 20°/20° 4000K metallgrau"</f>
        <v>1109GM K3 Power LED 2x9,5W 20°/20° 4000K metallgrau</v>
      </c>
      <c r="C611" t="str">
        <f>"193"</f>
        <v>193</v>
      </c>
      <c r="D611" s="1">
        <v>654</v>
      </c>
    </row>
    <row r="612" spans="1:4" x14ac:dyDescent="0.25">
      <c r="A612" t="str">
        <f>"K3-2NW7PEB"</f>
        <v>K3-2NW7PEB</v>
      </c>
      <c r="B612" t="str">
        <f>"1122GM4K K3 Power LED 2x9,5W 20°/50° 4000K metallgrau"</f>
        <v>1122GM4K K3 Power LED 2x9,5W 20°/50° 4000K metallgrau</v>
      </c>
      <c r="C612" t="str">
        <f>"193"</f>
        <v>193</v>
      </c>
      <c r="D612" s="1">
        <v>652.5</v>
      </c>
    </row>
    <row r="613" spans="1:4" x14ac:dyDescent="0.25">
      <c r="A613" t="str">
        <f>"K3-2NW7WB"</f>
        <v>K3-2NW7WB</v>
      </c>
      <c r="B613" t="str">
        <f>"1008GM4K K3 WRITER LED 2x6,4W 70°/70° 4000K metallgrau"</f>
        <v>1008GM4K K3 WRITER LED 2x6,4W 70°/70° 4000K metallgrau</v>
      </c>
      <c r="C613" t="str">
        <f>"86"</f>
        <v>86</v>
      </c>
      <c r="D613" s="1">
        <v>592.5</v>
      </c>
    </row>
    <row r="614" spans="1:4" x14ac:dyDescent="0.25">
      <c r="A614" t="str">
        <f>"K3-2WW1B"</f>
        <v>K3-2WW1B</v>
      </c>
      <c r="B614" t="str">
        <f>"1043BI3K K3 Miniled LED2x3W 70°/70° 3000K weiß"</f>
        <v>1043BI3K K3 Miniled LED2x3W 70°/70° 3000K weiß</v>
      </c>
      <c r="C614" t="str">
        <f>"191"</f>
        <v>191</v>
      </c>
      <c r="D614" s="1">
        <v>255</v>
      </c>
    </row>
    <row r="615" spans="1:4" x14ac:dyDescent="0.25">
      <c r="A615" t="str">
        <f>"K3-2WW1E"</f>
        <v>K3-2WW1E</v>
      </c>
      <c r="B615" t="str">
        <f>"1042BI3K K3 Miniled LED2x3W 30°/30° 3000K weiß"</f>
        <v>1042BI3K K3 Miniled LED2x3W 30°/30° 3000K weiß</v>
      </c>
      <c r="C615" t="str">
        <f>"191"</f>
        <v>191</v>
      </c>
      <c r="D615" s="1">
        <v>255</v>
      </c>
    </row>
    <row r="616" spans="1:4" x14ac:dyDescent="0.25">
      <c r="A616" t="str">
        <f>"K3-2WW1EB"</f>
        <v>K3-2WW1EB</v>
      </c>
      <c r="B616" t="str">
        <f>"1044BI3K K3 Miniled LED2x3W 30°/70° 3000K weiß"</f>
        <v>1044BI3K K3 Miniled LED2x3W 30°/70° 3000K weiß</v>
      </c>
      <c r="C616" t="str">
        <f>"191"</f>
        <v>191</v>
      </c>
      <c r="D616" s="1">
        <v>255</v>
      </c>
    </row>
    <row r="617" spans="1:4" x14ac:dyDescent="0.25">
      <c r="A617" t="str">
        <f>"K3-2WW1PB"</f>
        <v>K3-2WW1PB</v>
      </c>
      <c r="B617" t="str">
        <f>"1122BI3K K3 Power LED 2x9,5W 50°/50° 3000K weiß"</f>
        <v>1122BI3K K3 Power LED 2x9,5W 50°/50° 3000K weiß</v>
      </c>
      <c r="C617" t="str">
        <f>"193"</f>
        <v>193</v>
      </c>
      <c r="D617" s="1">
        <v>652.5</v>
      </c>
    </row>
    <row r="618" spans="1:4" x14ac:dyDescent="0.25">
      <c r="A618" t="str">
        <f>"K3-2WW1PE"</f>
        <v>K3-2WW1PE</v>
      </c>
      <c r="B618" t="str">
        <f>"1109BI3K K3 Power LED 2x9,5W 20°/20° 3000K weiß"</f>
        <v>1109BI3K K3 Power LED 2x9,5W 20°/20° 3000K weiß</v>
      </c>
      <c r="C618" t="str">
        <f>"193"</f>
        <v>193</v>
      </c>
      <c r="D618" s="1">
        <v>654</v>
      </c>
    </row>
    <row r="619" spans="1:4" x14ac:dyDescent="0.25">
      <c r="A619" t="str">
        <f>"K3-2WW1PEB"</f>
        <v>K3-2WW1PEB</v>
      </c>
      <c r="B619" t="str">
        <f>"1122BI3K K3 Power LED 2x9,5W 20°/50° 3000K weiß"</f>
        <v>1122BI3K K3 Power LED 2x9,5W 20°/50° 3000K weiß</v>
      </c>
      <c r="C619" t="str">
        <f>"193"</f>
        <v>193</v>
      </c>
      <c r="D619" s="1">
        <v>652.5</v>
      </c>
    </row>
    <row r="620" spans="1:4" x14ac:dyDescent="0.25">
      <c r="A620" t="str">
        <f>"K3-2WW1WB"</f>
        <v>K3-2WW1WB</v>
      </c>
      <c r="B620" t="str">
        <f>"1008BI3K K3 WRITER LED 2x6,4W 70°/70° 3000K weiß"</f>
        <v>1008BI3K K3 WRITER LED 2x6,4W 70°/70° 3000K weiß</v>
      </c>
      <c r="C620" t="str">
        <f>"189"</f>
        <v>189</v>
      </c>
      <c r="D620" s="1">
        <v>592.5</v>
      </c>
    </row>
    <row r="621" spans="1:4" x14ac:dyDescent="0.25">
      <c r="A621" t="str">
        <f>"K3-2WW6B"</f>
        <v>K3-2WW6B</v>
      </c>
      <c r="B621" t="str">
        <f>"1043GR3K K3 Miniled LED 2x3W 70°/70° 3000K graphitgrau"</f>
        <v>1043GR3K K3 Miniled LED 2x3W 70°/70° 3000K graphitgrau</v>
      </c>
      <c r="C621" t="str">
        <f>"191"</f>
        <v>191</v>
      </c>
      <c r="D621" s="1">
        <v>255</v>
      </c>
    </row>
    <row r="622" spans="1:4" x14ac:dyDescent="0.25">
      <c r="A622" t="str">
        <f>"K3-2WW6E"</f>
        <v>K3-2WW6E</v>
      </c>
      <c r="B622" t="str">
        <f>"1042GR3K K3 Miniled LED 2x3W 30°/30° 3000K graphitgrau"</f>
        <v>1042GR3K K3 Miniled LED 2x3W 30°/30° 3000K graphitgrau</v>
      </c>
      <c r="C622" t="str">
        <f>"191"</f>
        <v>191</v>
      </c>
      <c r="D622" s="1">
        <v>255</v>
      </c>
    </row>
    <row r="623" spans="1:4" x14ac:dyDescent="0.25">
      <c r="A623" t="str">
        <f>"K3-2WW6EB"</f>
        <v>K3-2WW6EB</v>
      </c>
      <c r="B623" t="str">
        <f>"1044GR3K K3 Miniled LED 2x3W 30°/70° 3000K graphitgrau"</f>
        <v>1044GR3K K3 Miniled LED 2x3W 30°/70° 3000K graphitgrau</v>
      </c>
      <c r="C623" t="str">
        <f>"191"</f>
        <v>191</v>
      </c>
      <c r="D623" s="1">
        <v>255</v>
      </c>
    </row>
    <row r="624" spans="1:4" x14ac:dyDescent="0.25">
      <c r="A624" t="str">
        <f>"K3-2WW6PB"</f>
        <v>K3-2WW6PB</v>
      </c>
      <c r="B624" t="str">
        <f>"1122GR3K K3 Power LED 2x9,5W 50°/50° 3000K graphitgrau"</f>
        <v>1122GR3K K3 Power LED 2x9,5W 50°/50° 3000K graphitgrau</v>
      </c>
      <c r="C624" t="str">
        <f>"193"</f>
        <v>193</v>
      </c>
      <c r="D624" s="1">
        <v>652.5</v>
      </c>
    </row>
    <row r="625" spans="1:4" x14ac:dyDescent="0.25">
      <c r="A625" t="str">
        <f>"K3-2WW6PE"</f>
        <v>K3-2WW6PE</v>
      </c>
      <c r="B625" t="str">
        <f>"1109GR3K K3 Power LED 2x9,5W 20°/20° 3000K graphitgrau"</f>
        <v>1109GR3K K3 Power LED 2x9,5W 20°/20° 3000K graphitgrau</v>
      </c>
      <c r="C625" t="str">
        <f>"193"</f>
        <v>193</v>
      </c>
      <c r="D625" s="1">
        <v>654</v>
      </c>
    </row>
    <row r="626" spans="1:4" x14ac:dyDescent="0.25">
      <c r="A626" t="str">
        <f>"K3-2WW6PEB"</f>
        <v>K3-2WW6PEB</v>
      </c>
      <c r="B626" t="str">
        <f>"1122GR3K  K3 Power LED2x9,5W 20°/50° 3000K graphitgrau"</f>
        <v>1122GR3K  K3 Power LED2x9,5W 20°/50° 3000K graphitgrau</v>
      </c>
      <c r="C626" t="str">
        <f>"193"</f>
        <v>193</v>
      </c>
      <c r="D626" s="1">
        <v>652.5</v>
      </c>
    </row>
    <row r="627" spans="1:4" x14ac:dyDescent="0.25">
      <c r="A627" t="str">
        <f>"K3-2WW6WB"</f>
        <v>K3-2WW6WB</v>
      </c>
      <c r="B627" t="str">
        <f>"1008GR3K K3 WRITER LED 2x6,4W 70°/70° 3000K graphitgrau"</f>
        <v>1008GR3K K3 WRITER LED 2x6,4W 70°/70° 3000K graphitgrau</v>
      </c>
      <c r="C627" t="str">
        <f>"189"</f>
        <v>189</v>
      </c>
      <c r="D627" s="1">
        <v>592.5</v>
      </c>
    </row>
    <row r="628" spans="1:4" x14ac:dyDescent="0.25">
      <c r="A628" t="str">
        <f>"K3-2WW7B"</f>
        <v>K3-2WW7B</v>
      </c>
      <c r="B628" t="str">
        <f>"1043GM3K K3 Miniled LED 2x3W 70°/70° 3000K metallgrau"</f>
        <v>1043GM3K K3 Miniled LED 2x3W 70°/70° 3000K metallgrau</v>
      </c>
      <c r="C628" t="str">
        <f>"191"</f>
        <v>191</v>
      </c>
      <c r="D628" s="1">
        <v>255</v>
      </c>
    </row>
    <row r="629" spans="1:4" x14ac:dyDescent="0.25">
      <c r="A629" t="str">
        <f>"K3-2WW7E"</f>
        <v>K3-2WW7E</v>
      </c>
      <c r="B629" t="str">
        <f>"1042GM3K K3 Miniled LED 2x3W 30°/30° 3000K metallgrau"</f>
        <v>1042GM3K K3 Miniled LED 2x3W 30°/30° 3000K metallgrau</v>
      </c>
      <c r="C629" t="str">
        <f>"191"</f>
        <v>191</v>
      </c>
      <c r="D629" s="1">
        <v>255</v>
      </c>
    </row>
    <row r="630" spans="1:4" x14ac:dyDescent="0.25">
      <c r="A630" t="str">
        <f>"K3-2WW7EB"</f>
        <v>K3-2WW7EB</v>
      </c>
      <c r="B630" t="str">
        <f>"1044GM3K K3 Miniled LED 2x3W 30°/70° 3000K metallgrau"</f>
        <v>1044GM3K K3 Miniled LED 2x3W 30°/70° 3000K metallgrau</v>
      </c>
      <c r="C630" t="str">
        <f>"191"</f>
        <v>191</v>
      </c>
      <c r="D630" s="1">
        <v>255</v>
      </c>
    </row>
    <row r="631" spans="1:4" x14ac:dyDescent="0.25">
      <c r="A631" t="str">
        <f>"K3-2WW7PB"</f>
        <v>K3-2WW7PB</v>
      </c>
      <c r="B631" t="str">
        <f>"1122GM3K K3 Power LED 2x9,5W 50°/50° 3000K metallgrau"</f>
        <v>1122GM3K K3 Power LED 2x9,5W 50°/50° 3000K metallgrau</v>
      </c>
      <c r="C631" t="str">
        <f>"193"</f>
        <v>193</v>
      </c>
      <c r="D631" s="1">
        <v>652.5</v>
      </c>
    </row>
    <row r="632" spans="1:4" x14ac:dyDescent="0.25">
      <c r="A632" t="str">
        <f>"K3-2WW7PE"</f>
        <v>K3-2WW7PE</v>
      </c>
      <c r="B632" t="str">
        <f>"1109GM3K K3 Power LED 2x9,5W 20°/20° 3000K metallgrau"</f>
        <v>1109GM3K K3 Power LED 2x9,5W 20°/20° 3000K metallgrau</v>
      </c>
      <c r="C632" t="str">
        <f>"193"</f>
        <v>193</v>
      </c>
      <c r="D632" s="1">
        <v>654</v>
      </c>
    </row>
    <row r="633" spans="1:4" x14ac:dyDescent="0.25">
      <c r="A633" t="str">
        <f>"K3-2WW7PEB"</f>
        <v>K3-2WW7PEB</v>
      </c>
      <c r="B633" t="str">
        <f>"1122GM3K K3 Power LED 2x9,5W 20°/50° 3000K metallgrau"</f>
        <v>1122GM3K K3 Power LED 2x9,5W 20°/50° 3000K metallgrau</v>
      </c>
      <c r="C633" t="str">
        <f>"193"</f>
        <v>193</v>
      </c>
      <c r="D633" s="1">
        <v>652.5</v>
      </c>
    </row>
    <row r="634" spans="1:4" x14ac:dyDescent="0.25">
      <c r="A634" t="str">
        <f>"K3-2WW7WB"</f>
        <v>K3-2WW7WB</v>
      </c>
      <c r="B634" t="str">
        <f>"1008GM3K K3 WRITER LED 2x6,4W 70°/70° 3000K metallgrau"</f>
        <v>1008GM3K K3 WRITER LED 2x6,4W 70°/70° 3000K metallgrau</v>
      </c>
      <c r="C634" t="str">
        <f>"86"</f>
        <v>86</v>
      </c>
      <c r="D634" s="1">
        <v>592.5</v>
      </c>
    </row>
    <row r="635" spans="1:4" x14ac:dyDescent="0.25">
      <c r="A635" t="str">
        <f>"K3-4NW1B"</f>
        <v>K3-4NW1B</v>
      </c>
      <c r="B635" t="str">
        <f>"1046BI4K K3 Miniled LED 4x3W 70° 4000K weiß"</f>
        <v>1046BI4K K3 Miniled LED 4x3W 70° 4000K weiß</v>
      </c>
      <c r="C635" t="str">
        <f>"191"</f>
        <v>191</v>
      </c>
      <c r="D635" s="1">
        <v>332.5</v>
      </c>
    </row>
    <row r="636" spans="1:4" x14ac:dyDescent="0.25">
      <c r="A636" t="str">
        <f>"K3-4NW1E"</f>
        <v>K3-4NW1E</v>
      </c>
      <c r="B636" t="str">
        <f>"1045BI4K K3 Miniled LED 4x3W 30° 4000K weiß"</f>
        <v>1045BI4K K3 Miniled LED 4x3W 30° 4000K weiß</v>
      </c>
      <c r="C636" t="str">
        <f>"191"</f>
        <v>191</v>
      </c>
      <c r="D636" s="1">
        <v>332.5</v>
      </c>
    </row>
    <row r="637" spans="1:4" x14ac:dyDescent="0.25">
      <c r="A637" t="str">
        <f>"K3-4NW1WB"</f>
        <v>K3-4NW1WB</v>
      </c>
      <c r="B637" t="str">
        <f>"1022BI4K K3 WRITER LED 4x6,4W 4x70° 4000K weiß"</f>
        <v>1022BI4K K3 WRITER LED 4x6,4W 4x70° 4000K weiß</v>
      </c>
      <c r="C637" t="str">
        <f>"189"</f>
        <v>189</v>
      </c>
      <c r="D637" s="1">
        <v>719</v>
      </c>
    </row>
    <row r="638" spans="1:4" x14ac:dyDescent="0.25">
      <c r="A638" t="str">
        <f>"K3-4NW6B"</f>
        <v>K3-4NW6B</v>
      </c>
      <c r="B638" t="str">
        <f>"1046GR4K K3 Miniled LED 4x3W 70° 4000K graphitgrau"</f>
        <v>1046GR4K K3 Miniled LED 4x3W 70° 4000K graphitgrau</v>
      </c>
      <c r="C638" t="str">
        <f>"191"</f>
        <v>191</v>
      </c>
      <c r="D638" s="1">
        <v>332.5</v>
      </c>
    </row>
    <row r="639" spans="1:4" x14ac:dyDescent="0.25">
      <c r="A639" t="str">
        <f>"K3-4NW6E"</f>
        <v>K3-4NW6E</v>
      </c>
      <c r="B639" t="str">
        <f>"1045GR4K K3 Miniled LED 4x3W 30° 4000K graphitgrau"</f>
        <v>1045GR4K K3 Miniled LED 4x3W 30° 4000K graphitgrau</v>
      </c>
      <c r="C639" t="str">
        <f>"191"</f>
        <v>191</v>
      </c>
      <c r="D639" s="1">
        <v>332.5</v>
      </c>
    </row>
    <row r="640" spans="1:4" x14ac:dyDescent="0.25">
      <c r="A640" t="str">
        <f>"K3-4NW6WB"</f>
        <v>K3-4NW6WB</v>
      </c>
      <c r="B640" t="str">
        <f>"1022GR4K K3 WRITER LED 4x6,4W 4x70° 4000K graphitgrau"</f>
        <v>1022GR4K K3 WRITER LED 4x6,4W 4x70° 4000K graphitgrau</v>
      </c>
      <c r="C640" t="str">
        <f>"189"</f>
        <v>189</v>
      </c>
      <c r="D640" s="1">
        <v>719</v>
      </c>
    </row>
    <row r="641" spans="1:4" x14ac:dyDescent="0.25">
      <c r="A641" t="str">
        <f>"K3-4NW7B"</f>
        <v>K3-4NW7B</v>
      </c>
      <c r="B641" t="str">
        <f>"1046GM4K K3 Miniled LED 4x3W 70° 4000K metallgrau"</f>
        <v>1046GM4K K3 Miniled LED 4x3W 70° 4000K metallgrau</v>
      </c>
      <c r="C641" t="str">
        <f>"191"</f>
        <v>191</v>
      </c>
      <c r="D641" s="1">
        <v>332.5</v>
      </c>
    </row>
    <row r="642" spans="1:4" x14ac:dyDescent="0.25">
      <c r="A642" t="str">
        <f>"K3-4NW7E"</f>
        <v>K3-4NW7E</v>
      </c>
      <c r="B642" t="str">
        <f>"1045GM4K K3 Miniled LED 4x3W 30° 4000K metallgrau"</f>
        <v>1045GM4K K3 Miniled LED 4x3W 30° 4000K metallgrau</v>
      </c>
      <c r="C642" t="str">
        <f>"191"</f>
        <v>191</v>
      </c>
      <c r="D642" s="1">
        <v>332.5</v>
      </c>
    </row>
    <row r="643" spans="1:4" x14ac:dyDescent="0.25">
      <c r="A643" t="str">
        <f>"K3-4NW7WB"</f>
        <v>K3-4NW7WB</v>
      </c>
      <c r="B643" t="str">
        <f>"1022GM4K K3 WRITER LED 4x6,4W 4x70° 4000K metallgrau"</f>
        <v>1022GM4K K3 WRITER LED 4x6,4W 4x70° 4000K metallgrau</v>
      </c>
      <c r="C643" t="str">
        <f>"189"</f>
        <v>189</v>
      </c>
      <c r="D643" s="1">
        <v>719</v>
      </c>
    </row>
    <row r="644" spans="1:4" x14ac:dyDescent="0.25">
      <c r="A644" t="str">
        <f>"K3-4WW1B"</f>
        <v>K3-4WW1B</v>
      </c>
      <c r="B644" t="str">
        <f>"1046BI3K K3 Miniled LED 4x3W 70° 3000K weiß"</f>
        <v>1046BI3K K3 Miniled LED 4x3W 70° 3000K weiß</v>
      </c>
      <c r="C644" t="str">
        <f>"191"</f>
        <v>191</v>
      </c>
      <c r="D644" s="1">
        <v>332.5</v>
      </c>
    </row>
    <row r="645" spans="1:4" x14ac:dyDescent="0.25">
      <c r="A645" t="str">
        <f>"K3-4WW1E"</f>
        <v>K3-4WW1E</v>
      </c>
      <c r="B645" t="str">
        <f>"1045BI3K K3 Miniled LED 4x3W 30° 3000K weiß"</f>
        <v>1045BI3K K3 Miniled LED 4x3W 30° 3000K weiß</v>
      </c>
      <c r="C645" t="str">
        <f>"191"</f>
        <v>191</v>
      </c>
      <c r="D645" s="1">
        <v>332.5</v>
      </c>
    </row>
    <row r="646" spans="1:4" x14ac:dyDescent="0.25">
      <c r="A646" t="str">
        <f>"K3-4WW1WB"</f>
        <v>K3-4WW1WB</v>
      </c>
      <c r="B646" t="str">
        <f>"1022BI3K K3 WRITER LED 4x6,4W 4x70° 3000K weiß"</f>
        <v>1022BI3K K3 WRITER LED 4x6,4W 4x70° 3000K weiß</v>
      </c>
      <c r="C646" t="str">
        <f>"189"</f>
        <v>189</v>
      </c>
      <c r="D646" s="1">
        <v>719</v>
      </c>
    </row>
    <row r="647" spans="1:4" x14ac:dyDescent="0.25">
      <c r="A647" t="str">
        <f>"K3-4WW6B"</f>
        <v>K3-4WW6B</v>
      </c>
      <c r="B647" t="str">
        <f>"1046GR3K K3 Miniled LED 4x3W 70° 3000K graphitgrau"</f>
        <v>1046GR3K K3 Miniled LED 4x3W 70° 3000K graphitgrau</v>
      </c>
      <c r="C647" t="str">
        <f>"191"</f>
        <v>191</v>
      </c>
      <c r="D647" s="1">
        <v>332.5</v>
      </c>
    </row>
    <row r="648" spans="1:4" x14ac:dyDescent="0.25">
      <c r="A648" t="str">
        <f>"K3-4WW6E"</f>
        <v>K3-4WW6E</v>
      </c>
      <c r="B648" t="str">
        <f>"1045GR3K K3 Miniled LED 4x3W 30° 3000K graphitgrau"</f>
        <v>1045GR3K K3 Miniled LED 4x3W 30° 3000K graphitgrau</v>
      </c>
      <c r="C648" t="str">
        <f>"191"</f>
        <v>191</v>
      </c>
      <c r="D648" s="1">
        <v>332.5</v>
      </c>
    </row>
    <row r="649" spans="1:4" x14ac:dyDescent="0.25">
      <c r="A649" t="str">
        <f>"K3-4WW6WB"</f>
        <v>K3-4WW6WB</v>
      </c>
      <c r="B649" t="str">
        <f>"1022GR3K K3 WRITER LED 4x6,4W 4x70° 3000K graphitgrau"</f>
        <v>1022GR3K K3 WRITER LED 4x6,4W 4x70° 3000K graphitgrau</v>
      </c>
      <c r="C649" t="str">
        <f>"189"</f>
        <v>189</v>
      </c>
      <c r="D649" s="1">
        <v>719</v>
      </c>
    </row>
    <row r="650" spans="1:4" x14ac:dyDescent="0.25">
      <c r="A650" t="str">
        <f>"K3-4WW7B"</f>
        <v>K3-4WW7B</v>
      </c>
      <c r="B650" t="str">
        <f>"1046GM3K K3 Miniled LED 4x3W 70° 3000K metallgrau"</f>
        <v>1046GM3K K3 Miniled LED 4x3W 70° 3000K metallgrau</v>
      </c>
      <c r="C650" t="str">
        <f>"191"</f>
        <v>191</v>
      </c>
      <c r="D650" s="1">
        <v>332.5</v>
      </c>
    </row>
    <row r="651" spans="1:4" x14ac:dyDescent="0.25">
      <c r="A651" t="str">
        <f>"K3-4WW7E"</f>
        <v>K3-4WW7E</v>
      </c>
      <c r="B651" t="str">
        <f>"1045GM3K K3 Miniled LED 4x3W 30° 3000K metallgrau"</f>
        <v>1045GM3K K3 Miniled LED 4x3W 30° 3000K metallgrau</v>
      </c>
      <c r="C651" t="str">
        <f>"191"</f>
        <v>191</v>
      </c>
      <c r="D651" s="1">
        <v>332.5</v>
      </c>
    </row>
    <row r="652" spans="1:4" x14ac:dyDescent="0.25">
      <c r="A652" t="str">
        <f>"K3-4WW7WB"</f>
        <v>K3-4WW7WB</v>
      </c>
      <c r="B652" t="str">
        <f>"1022GM3K K3 WRITER LED 4x6,4W 4x70° 3000K metallgrau"</f>
        <v>1022GM3K K3 WRITER LED 4x6,4W 4x70° 3000K metallgrau</v>
      </c>
      <c r="C652" t="str">
        <f>"189"</f>
        <v>189</v>
      </c>
      <c r="D652" s="1">
        <v>719</v>
      </c>
    </row>
    <row r="653" spans="1:4" x14ac:dyDescent="0.25">
      <c r="A653" t="str">
        <f>"LA-40N"</f>
        <v>LA-40N</v>
      </c>
      <c r="B653" t="str">
        <f>"LA-40 UniCompactAdapter, inkl. Montagenippel, weiss+schwarz"</f>
        <v>LA-40 UniCompactAdapter, inkl. Montagenippel, weiss+schwarz</v>
      </c>
      <c r="C653" t="str">
        <f>"33"</f>
        <v>33</v>
      </c>
      <c r="D653" s="1">
        <v>22.5</v>
      </c>
    </row>
    <row r="654" spans="1:4" x14ac:dyDescent="0.25">
      <c r="A654" t="str">
        <f>"LA-40SW"</f>
        <v>LA-40SW</v>
      </c>
      <c r="B654" t="str">
        <f>"LA-40 UniCompactAdapter, inkl. Montagenippel, schwarz"</f>
        <v>LA-40 UniCompactAdapter, inkl. Montagenippel, schwarz</v>
      </c>
      <c r="C654" t="str">
        <f>"33"</f>
        <v>33</v>
      </c>
      <c r="D654" s="1">
        <v>22.5</v>
      </c>
    </row>
    <row r="655" spans="1:4" x14ac:dyDescent="0.25">
      <c r="A655" t="str">
        <f>"LA-50N"</f>
        <v>LA-50N</v>
      </c>
      <c r="B655" t="str">
        <f>"Multi-Adapter, mit Datenbus-Option,verkehrsweiß max. Belastung 50N "</f>
        <v xml:space="preserve">Multi-Adapter, mit Datenbus-Option,verkehrsweiß max. Belastung 50N </v>
      </c>
      <c r="C655" t="str">
        <f>"33"</f>
        <v>33</v>
      </c>
      <c r="D655" s="1">
        <v>14.75</v>
      </c>
    </row>
    <row r="656" spans="1:4" x14ac:dyDescent="0.25">
      <c r="A656" t="str">
        <f>"LA-50SI"</f>
        <v>LA-50SI</v>
      </c>
      <c r="B656" t="str">
        <f>"Multi-Adapter, mit Datenbus-Option,silber, max.Belastung 50N"</f>
        <v>Multi-Adapter, mit Datenbus-Option,silber, max.Belastung 50N</v>
      </c>
      <c r="C656" t="str">
        <f>"33"</f>
        <v>33</v>
      </c>
      <c r="D656" s="1">
        <v>22.5</v>
      </c>
    </row>
    <row r="657" spans="1:4" x14ac:dyDescent="0.25">
      <c r="A657" t="str">
        <f>"LA-50SW"</f>
        <v>LA-50SW</v>
      </c>
      <c r="B657" t="str">
        <f>"Multi-Adapter, mit Datenbus-Option,schwarz max.Belastung 50N"</f>
        <v>Multi-Adapter, mit Datenbus-Option,schwarz max.Belastung 50N</v>
      </c>
      <c r="C657" t="str">
        <f>"33"</f>
        <v>33</v>
      </c>
      <c r="D657" s="1">
        <v>14.75</v>
      </c>
    </row>
    <row r="658" spans="1:4" x14ac:dyDescent="0.25">
      <c r="A658" t="str">
        <f>"LCBI-10W350D"</f>
        <v>LCBI-10W350D</v>
      </c>
      <c r="B658" t="str">
        <f>"LCBI 10W 350mA PHASE-CUT/1-10V SR"</f>
        <v>LCBI 10W 350mA PHASE-CUT/1-10V SR</v>
      </c>
      <c r="C658" t="str">
        <f>"238"</f>
        <v>238</v>
      </c>
      <c r="D658" s="1">
        <v>14.25</v>
      </c>
    </row>
    <row r="659" spans="1:4" x14ac:dyDescent="0.25">
      <c r="A659" t="str">
        <f>"LCBI-15W350MA"</f>
        <v>LCBI-15W350MA</v>
      </c>
      <c r="B659" t="str">
        <f>"Tridonic LCBI 15W 350mA BASIC PH-CUT SR ADV"</f>
        <v>Tridonic LCBI 15W 350mA BASIC PH-CUT SR ADV</v>
      </c>
      <c r="C659" t="str">
        <f>"239"</f>
        <v>239</v>
      </c>
      <c r="D659" s="1">
        <v>20</v>
      </c>
    </row>
    <row r="660" spans="1:4" x14ac:dyDescent="0.25">
      <c r="A660" t="str">
        <f>"LCBI-25W700D"</f>
        <v>LCBI-25W700D</v>
      </c>
      <c r="B660" t="str">
        <f>"LCBI 25W 700mA PHASE-CUTSR"</f>
        <v>LCBI 25W 700mA PHASE-CUTSR</v>
      </c>
      <c r="C660" t="str">
        <f>"239"</f>
        <v>239</v>
      </c>
      <c r="D660" s="1">
        <v>22.5</v>
      </c>
    </row>
    <row r="661" spans="1:4" x14ac:dyDescent="0.25">
      <c r="A661" t="str">
        <f>"LCI-42W1050"</f>
        <v>LCI-42W1050</v>
      </c>
      <c r="B661" t="str">
        <f>"LCI 42W, 1050mA TEC C"</f>
        <v>LCI 42W, 1050mA TEC C</v>
      </c>
      <c r="C661" t="str">
        <f>"240"</f>
        <v>240</v>
      </c>
      <c r="D661" s="1">
        <v>23.75</v>
      </c>
    </row>
    <row r="662" spans="1:4" x14ac:dyDescent="0.25">
      <c r="A662" t="str">
        <f>"LC-10W350SR"</f>
        <v>LC-10W350SR</v>
      </c>
      <c r="B662" t="str">
        <f>"LC 10W 350mA fixC SR SNC"</f>
        <v>LC 10W 350mA fixC SR SNC</v>
      </c>
      <c r="C662" t="str">
        <f>"238"</f>
        <v>238</v>
      </c>
      <c r="D662" s="1">
        <v>10.75</v>
      </c>
    </row>
    <row r="663" spans="1:4" x14ac:dyDescent="0.25">
      <c r="A663" t="str">
        <f>"LC-10W500SR"</f>
        <v>LC-10W500SR</v>
      </c>
      <c r="B663" t="str">
        <f>"LED Netzteil 10W 500mA"</f>
        <v>LED Netzteil 10W 500mA</v>
      </c>
      <c r="C663" t="str">
        <f>"238"</f>
        <v>238</v>
      </c>
      <c r="D663" s="1">
        <v>10.75</v>
      </c>
    </row>
    <row r="664" spans="1:4" x14ac:dyDescent="0.25">
      <c r="A664" t="str">
        <f>"LC-10W700MA-FIXC-SR-SNC"</f>
        <v>LC-10W700MA-FIXC-SR-SNC</v>
      </c>
      <c r="B664" t="str">
        <f>"LC 10W 700mA fixC SR SNC"</f>
        <v>LC 10W 700mA fixC SR SNC</v>
      </c>
      <c r="C664" t="str">
        <f>"239"</f>
        <v>239</v>
      </c>
      <c r="D664" s="1">
        <v>10.75</v>
      </c>
    </row>
    <row r="665" spans="1:4" x14ac:dyDescent="0.25">
      <c r="A665" t="str">
        <f>"LC-35W700/800/1050MA-FLEXC-SR"</f>
        <v>LC-35W700/800/1050MA-FLEXC-SR</v>
      </c>
      <c r="B665" t="str">
        <f>"LC 35W 700/800/1050mA flexC SR ADV"</f>
        <v>LC 35W 700/800/1050mA flexC SR ADV</v>
      </c>
      <c r="C665" t="str">
        <f>"240"</f>
        <v>240</v>
      </c>
      <c r="D665" s="1">
        <v>17.25</v>
      </c>
    </row>
    <row r="666" spans="1:4" x14ac:dyDescent="0.25">
      <c r="A666" t="str">
        <f>"LDE-12NW1"</f>
        <v>LDE-12NW1</v>
      </c>
      <c r="B666" t="str">
        <f>"Deckenleuchte zylindrisch, LED, COB 12W, 4000K, Gehäuse weiß, integriertes Netz"</f>
        <v>Deckenleuchte zylindrisch, LED, COB 12W, 4000K, Gehäuse weiß, integriertes Netz</v>
      </c>
      <c r="C666" t="str">
        <f t="shared" ref="C666:C673" si="30">"151"</f>
        <v>151</v>
      </c>
      <c r="D666" s="1">
        <v>79</v>
      </c>
    </row>
    <row r="667" spans="1:4" x14ac:dyDescent="0.25">
      <c r="A667" t="str">
        <f>"LDE-12NW2"</f>
        <v>LDE-12NW2</v>
      </c>
      <c r="B667" t="str">
        <f>"Deckenleuchte zylindrisch, LED, COB 12W, 4000K,Gehäuse schwarz,integriertes Netz"</f>
        <v>Deckenleuchte zylindrisch, LED, COB 12W, 4000K,Gehäuse schwarz,integriertes Netz</v>
      </c>
      <c r="C667" t="str">
        <f t="shared" si="30"/>
        <v>151</v>
      </c>
      <c r="D667" s="1">
        <v>79</v>
      </c>
    </row>
    <row r="668" spans="1:4" x14ac:dyDescent="0.25">
      <c r="A668" t="str">
        <f>"LDE-12WW1"</f>
        <v>LDE-12WW1</v>
      </c>
      <c r="B668" t="str">
        <f>"Deckenleuchte zylindrisch, LED, COB 12W, 3000K, Gehäuse weiß, integriertes Netz"</f>
        <v>Deckenleuchte zylindrisch, LED, COB 12W, 3000K, Gehäuse weiß, integriertes Netz</v>
      </c>
      <c r="C668" t="str">
        <f t="shared" si="30"/>
        <v>151</v>
      </c>
      <c r="D668" s="1">
        <v>79</v>
      </c>
    </row>
    <row r="669" spans="1:4" x14ac:dyDescent="0.25">
      <c r="A669" t="str">
        <f>"LDE-12WW2"</f>
        <v>LDE-12WW2</v>
      </c>
      <c r="B669" t="str">
        <f>"Deckenleuchte zylindrisch, LED, COB 12W, 3000K,Gehäuse schwarz,integriertes Netz"</f>
        <v>Deckenleuchte zylindrisch, LED, COB 12W, 3000K,Gehäuse schwarz,integriertes Netz</v>
      </c>
      <c r="C669" t="str">
        <f t="shared" si="30"/>
        <v>151</v>
      </c>
      <c r="D669" s="1">
        <v>79</v>
      </c>
    </row>
    <row r="670" spans="1:4" x14ac:dyDescent="0.25">
      <c r="A670" t="str">
        <f>"LDW-8NW1"</f>
        <v>LDW-8NW1</v>
      </c>
      <c r="B670" t="str">
        <f>"Deckenleuchte zylindrisch, LED, COB 8W,4000K, asym. ,weiß, integriertes Netz"</f>
        <v>Deckenleuchte zylindrisch, LED, COB 8W,4000K, asym. ,weiß, integriertes Netz</v>
      </c>
      <c r="C670" t="str">
        <f t="shared" si="30"/>
        <v>151</v>
      </c>
      <c r="D670" s="1">
        <v>100</v>
      </c>
    </row>
    <row r="671" spans="1:4" x14ac:dyDescent="0.25">
      <c r="A671" t="str">
        <f>"LDW-8NW2"</f>
        <v>LDW-8NW2</v>
      </c>
      <c r="B671" t="str">
        <f>"Deckenleuchte zylindrisch, LED, COB 8W,4000K, asym. ,schwarz, integriertes Netz"</f>
        <v>Deckenleuchte zylindrisch, LED, COB 8W,4000K, asym. ,schwarz, integriertes Netz</v>
      </c>
      <c r="C671" t="str">
        <f t="shared" si="30"/>
        <v>151</v>
      </c>
      <c r="D671" s="1">
        <v>100</v>
      </c>
    </row>
    <row r="672" spans="1:4" x14ac:dyDescent="0.25">
      <c r="A672" t="str">
        <f>"LDW-8WW1"</f>
        <v>LDW-8WW1</v>
      </c>
      <c r="B672" t="str">
        <f>"Deckenleuchte zylindrisch, LED, COB 8W,3000K, asym. ,weiß, integriertes Netz"</f>
        <v>Deckenleuchte zylindrisch, LED, COB 8W,3000K, asym. ,weiß, integriertes Netz</v>
      </c>
      <c r="C672" t="str">
        <f t="shared" si="30"/>
        <v>151</v>
      </c>
      <c r="D672" s="1">
        <v>100</v>
      </c>
    </row>
    <row r="673" spans="1:4" x14ac:dyDescent="0.25">
      <c r="A673" t="str">
        <f>"LDW-8WW2"</f>
        <v>LDW-8WW2</v>
      </c>
      <c r="B673" t="str">
        <f>"Deckenleuchte zylindrisch, LED, COB 8W,3000K, asym. ,schwarz, integriertes Netz"</f>
        <v>Deckenleuchte zylindrisch, LED, COB 8W,3000K, asym. ,schwarz, integriertes Netz</v>
      </c>
      <c r="C673" t="str">
        <f t="shared" si="30"/>
        <v>151</v>
      </c>
      <c r="D673" s="1">
        <v>100</v>
      </c>
    </row>
    <row r="674" spans="1:4" x14ac:dyDescent="0.25">
      <c r="A674" t="str">
        <f>"LEST-13NW1"</f>
        <v>LEST-13NW1</v>
      </c>
      <c r="B674" t="str">
        <f>"Lichtleiste 13W, 4000K, 836mm"</f>
        <v>Lichtleiste 13W, 4000K, 836mm</v>
      </c>
      <c r="C674" t="str">
        <f t="shared" ref="C674:C685" si="31">"97"</f>
        <v>97</v>
      </c>
      <c r="D674" s="1">
        <v>47</v>
      </c>
    </row>
    <row r="675" spans="1:4" x14ac:dyDescent="0.25">
      <c r="A675" t="str">
        <f>"LEST-13NW1D"</f>
        <v>LEST-13NW1D</v>
      </c>
      <c r="B675" t="str">
        <f>"Lichtleiste 13W, 4000K, 836mm, dimmbar"</f>
        <v>Lichtleiste 13W, 4000K, 836mm, dimmbar</v>
      </c>
      <c r="C675" t="str">
        <f t="shared" si="31"/>
        <v>97</v>
      </c>
      <c r="D675" s="1">
        <v>55.75</v>
      </c>
    </row>
    <row r="676" spans="1:4" x14ac:dyDescent="0.25">
      <c r="A676" t="str">
        <f>"LEST-13WW1"</f>
        <v>LEST-13WW1</v>
      </c>
      <c r="B676" t="str">
        <f>"Lichtleiste 13W, 3000K, 836mm"</f>
        <v>Lichtleiste 13W, 3000K, 836mm</v>
      </c>
      <c r="C676" t="str">
        <f t="shared" si="31"/>
        <v>97</v>
      </c>
      <c r="D676" s="1">
        <v>47</v>
      </c>
    </row>
    <row r="677" spans="1:4" x14ac:dyDescent="0.25">
      <c r="A677" t="str">
        <f>"LEST-13WW1D"</f>
        <v>LEST-13WW1D</v>
      </c>
      <c r="B677" t="str">
        <f>"Lichtleiste 13W, 3000K, 836mm, dimmbar"</f>
        <v>Lichtleiste 13W, 3000K, 836mm, dimmbar</v>
      </c>
      <c r="C677" t="str">
        <f t="shared" si="31"/>
        <v>97</v>
      </c>
      <c r="D677" s="1">
        <v>55.75</v>
      </c>
    </row>
    <row r="678" spans="1:4" x14ac:dyDescent="0.25">
      <c r="A678" t="str">
        <f>"LEST-18NW1"</f>
        <v>LEST-18NW1</v>
      </c>
      <c r="B678" t="str">
        <f>"Lichtleiste 18W, 4000K, 1136mm"</f>
        <v>Lichtleiste 18W, 4000K, 1136mm</v>
      </c>
      <c r="C678" t="str">
        <f t="shared" si="31"/>
        <v>97</v>
      </c>
      <c r="D678" s="1">
        <v>57</v>
      </c>
    </row>
    <row r="679" spans="1:4" x14ac:dyDescent="0.25">
      <c r="A679" t="str">
        <f>"LEST-18NW1D"</f>
        <v>LEST-18NW1D</v>
      </c>
      <c r="B679" t="str">
        <f>"Lichtleiste 18W, 4000K, 1136mm, dimmbar"</f>
        <v>Lichtleiste 18W, 4000K, 1136mm, dimmbar</v>
      </c>
      <c r="C679" t="str">
        <f t="shared" si="31"/>
        <v>97</v>
      </c>
      <c r="D679" s="1">
        <v>64.5</v>
      </c>
    </row>
    <row r="680" spans="1:4" x14ac:dyDescent="0.25">
      <c r="A680" t="str">
        <f>"LEST-18WW1"</f>
        <v>LEST-18WW1</v>
      </c>
      <c r="B680" t="str">
        <f>"Lichtleiste 18W, 3000K, 1136mm"</f>
        <v>Lichtleiste 18W, 3000K, 1136mm</v>
      </c>
      <c r="C680" t="str">
        <f t="shared" si="31"/>
        <v>97</v>
      </c>
      <c r="D680" s="1">
        <v>57</v>
      </c>
    </row>
    <row r="681" spans="1:4" x14ac:dyDescent="0.25">
      <c r="A681" t="str">
        <f>"LEST-18WW1D"</f>
        <v>LEST-18WW1D</v>
      </c>
      <c r="B681" t="str">
        <f>"Lichtleiste 18W, 3000K, 1136mm, dimmbar"</f>
        <v>Lichtleiste 18W, 3000K, 1136mm, dimmbar</v>
      </c>
      <c r="C681" t="str">
        <f t="shared" si="31"/>
        <v>97</v>
      </c>
      <c r="D681" s="1">
        <v>64.5</v>
      </c>
    </row>
    <row r="682" spans="1:4" x14ac:dyDescent="0.25">
      <c r="A682" t="str">
        <f>"LEST-22NW1"</f>
        <v>LEST-22NW1</v>
      </c>
      <c r="B682" t="str">
        <f>"Lichtleiste 22W, 4000K, 1436mm"</f>
        <v>Lichtleiste 22W, 4000K, 1436mm</v>
      </c>
      <c r="C682" t="str">
        <f t="shared" si="31"/>
        <v>97</v>
      </c>
      <c r="D682" s="1">
        <v>62.5</v>
      </c>
    </row>
    <row r="683" spans="1:4" x14ac:dyDescent="0.25">
      <c r="A683" t="str">
        <f>"LEST-22NW1D"</f>
        <v>LEST-22NW1D</v>
      </c>
      <c r="B683" t="str">
        <f>"Lichtleiste 22W, 4000K, 1436mm, dimmbar"</f>
        <v>Lichtleiste 22W, 4000K, 1436mm, dimmbar</v>
      </c>
      <c r="C683" t="str">
        <f t="shared" si="31"/>
        <v>97</v>
      </c>
      <c r="D683" s="1">
        <v>74.5</v>
      </c>
    </row>
    <row r="684" spans="1:4" x14ac:dyDescent="0.25">
      <c r="A684" t="str">
        <f>"LEST-22WW1"</f>
        <v>LEST-22WW1</v>
      </c>
      <c r="B684" t="str">
        <f>"Lichtleiste 22W, 3000K, 1436mm"</f>
        <v>Lichtleiste 22W, 3000K, 1436mm</v>
      </c>
      <c r="C684" t="str">
        <f t="shared" si="31"/>
        <v>97</v>
      </c>
      <c r="D684" s="1">
        <v>62.5</v>
      </c>
    </row>
    <row r="685" spans="1:4" x14ac:dyDescent="0.25">
      <c r="A685" t="str">
        <f>"LEST-22WW1D"</f>
        <v>LEST-22WW1D</v>
      </c>
      <c r="B685" t="str">
        <f>"Lichtleiste 22W, 3000K, 1436mm,dimmbar"</f>
        <v>Lichtleiste 22W, 3000K, 1436mm,dimmbar</v>
      </c>
      <c r="C685" t="str">
        <f t="shared" si="31"/>
        <v>97</v>
      </c>
      <c r="D685" s="1">
        <v>74.5</v>
      </c>
    </row>
    <row r="686" spans="1:4" x14ac:dyDescent="0.25">
      <c r="A686" t="str">
        <f>"LIGHTR-60NW1"</f>
        <v>LIGHTR-60NW1</v>
      </c>
      <c r="B686" t="str">
        <f>"LIGHTR, Decken-/ Pendelleuchte, LED 57W, 4000K,1320mA, 230V,weiß"</f>
        <v>LIGHTR, Decken-/ Pendelleuchte, LED 57W, 4000K,1320mA, 230V,weiß</v>
      </c>
      <c r="C686" t="str">
        <f t="shared" ref="C686:C695" si="32">"133"</f>
        <v>133</v>
      </c>
      <c r="D686" s="1">
        <v>550</v>
      </c>
    </row>
    <row r="687" spans="1:4" x14ac:dyDescent="0.25">
      <c r="A687" t="str">
        <f>"LIGHTR-60WW1"</f>
        <v>LIGHTR-60WW1</v>
      </c>
      <c r="B687" t="str">
        <f>"LIGHTR, Decken-/ Pendelleuchte, LED 57W, 3000K,1320mA, 230V,weiß"</f>
        <v>LIGHTR, Decken-/ Pendelleuchte, LED 57W, 3000K,1320mA, 230V,weiß</v>
      </c>
      <c r="C687" t="str">
        <f t="shared" si="32"/>
        <v>133</v>
      </c>
      <c r="D687" s="1">
        <v>550</v>
      </c>
    </row>
    <row r="688" spans="1:4" x14ac:dyDescent="0.25">
      <c r="A688" t="str">
        <f>"LIGHTR-81NW1"</f>
        <v>LIGHTR-81NW1</v>
      </c>
      <c r="B688" t="str">
        <f>"LIGHTR, Decken-/ Pendelleuchte, LED 80W, 4000K, 2800mA, 230V,weiß"</f>
        <v>LIGHTR, Decken-/ Pendelleuchte, LED 80W, 4000K, 2800mA, 230V,weiß</v>
      </c>
      <c r="C688" t="str">
        <f t="shared" si="32"/>
        <v>133</v>
      </c>
      <c r="D688" s="1">
        <v>750</v>
      </c>
    </row>
    <row r="689" spans="1:4" x14ac:dyDescent="0.25">
      <c r="A689" t="str">
        <f>"LIGHTR-81WW1"</f>
        <v>LIGHTR-81WW1</v>
      </c>
      <c r="B689" t="str">
        <f>"LIGHTR, Decken-/ Pendelleuchte, LED 80W, 3000K, 1800mA, 230V,weiß"</f>
        <v>LIGHTR, Decken-/ Pendelleuchte, LED 80W, 3000K, 1800mA, 230V,weiß</v>
      </c>
      <c r="C689" t="str">
        <f t="shared" si="32"/>
        <v>133</v>
      </c>
      <c r="D689" s="1">
        <v>750</v>
      </c>
    </row>
    <row r="690" spans="1:4" x14ac:dyDescent="0.25">
      <c r="A690" t="str">
        <f>"LIGHT-110NW1"</f>
        <v>LIGHT-110NW1</v>
      </c>
      <c r="B690" t="str">
        <f>"LIGHT, Decken-/ Pendelleuchte, LED 108W, 4000K, 2800mA, 230V, weiß"</f>
        <v>LIGHT, Decken-/ Pendelleuchte, LED 108W, 4000K, 2800mA, 230V, weiß</v>
      </c>
      <c r="C690" t="str">
        <f t="shared" si="32"/>
        <v>133</v>
      </c>
      <c r="D690" s="1">
        <v>720</v>
      </c>
    </row>
    <row r="691" spans="1:4" x14ac:dyDescent="0.25">
      <c r="A691" t="str">
        <f>"LIGHT-110WW1"</f>
        <v>LIGHT-110WW1</v>
      </c>
      <c r="B691" t="str">
        <f>"LIGHT, Decken-/ Pendelleuchte, LED 108W, 3000K, 2800mA, 230V, weiß"</f>
        <v>LIGHT, Decken-/ Pendelleuchte, LED 108W, 3000K, 2800mA, 230V, weiß</v>
      </c>
      <c r="C691" t="str">
        <f t="shared" si="32"/>
        <v>133</v>
      </c>
      <c r="D691" s="1">
        <v>720</v>
      </c>
    </row>
    <row r="692" spans="1:4" x14ac:dyDescent="0.25">
      <c r="A692" t="str">
        <f>"LIGHT-200NW1"</f>
        <v>LIGHT-200NW1</v>
      </c>
      <c r="B692" t="str">
        <f>"LIGHT, Decken-/ Pendelleuchte, LED 203W, 4000K, 5200mA, 230V, weiß"</f>
        <v>LIGHT, Decken-/ Pendelleuchte, LED 203W, 4000K, 5200mA, 230V, weiß</v>
      </c>
      <c r="C692" t="str">
        <f t="shared" si="32"/>
        <v>133</v>
      </c>
      <c r="D692" s="1">
        <v>1100</v>
      </c>
    </row>
    <row r="693" spans="1:4" x14ac:dyDescent="0.25">
      <c r="A693" t="str">
        <f>"LIGHT-200WW1"</f>
        <v>LIGHT-200WW1</v>
      </c>
      <c r="B693" t="str">
        <f>"LIGHT, Decken-/ Pendelleuchte, LED 203W, 3000K, 5250mA, 230V, weiß"</f>
        <v>LIGHT, Decken-/ Pendelleuchte, LED 203W, 3000K, 5250mA, 230V, weiß</v>
      </c>
      <c r="C693" t="str">
        <f t="shared" si="32"/>
        <v>133</v>
      </c>
      <c r="D693" s="1">
        <v>1100</v>
      </c>
    </row>
    <row r="694" spans="1:4" x14ac:dyDescent="0.25">
      <c r="A694" t="str">
        <f>"LIGHT-48NW1"</f>
        <v>LIGHT-48NW1</v>
      </c>
      <c r="B694" t="str">
        <f>"LIGHT, Decken-/ Pendelleuchte, LED 49W, 4000K, 1200mA, 230V, weiß"</f>
        <v>LIGHT, Decken-/ Pendelleuchte, LED 49W, 4000K, 1200mA, 230V, weiß</v>
      </c>
      <c r="C694" t="str">
        <f t="shared" si="32"/>
        <v>133</v>
      </c>
      <c r="D694" s="1">
        <v>380</v>
      </c>
    </row>
    <row r="695" spans="1:4" x14ac:dyDescent="0.25">
      <c r="A695" t="str">
        <f>"LIGHT-48WW1"</f>
        <v>LIGHT-48WW1</v>
      </c>
      <c r="B695" t="str">
        <f>"LIGHT, Decken-/ Pendelleuchte, LED 49W, 3000K, 1200mA, 230V, weiß"</f>
        <v>LIGHT, Decken-/ Pendelleuchte, LED 49W, 3000K, 1200mA, 230V, weiß</v>
      </c>
      <c r="C695" t="str">
        <f t="shared" si="32"/>
        <v>133</v>
      </c>
      <c r="D695" s="1">
        <v>380</v>
      </c>
    </row>
    <row r="696" spans="1:4" x14ac:dyDescent="0.25">
      <c r="A696" t="str">
        <f>"LIN-10NW1-2"</f>
        <v>LIN-10NW1-2</v>
      </c>
      <c r="B696" t="str">
        <f>"LIN LED Lichteinsatz, 11W, 4000K, schwarz-weiß"</f>
        <v>LIN LED Lichteinsatz, 11W, 4000K, schwarz-weiß</v>
      </c>
      <c r="C696" t="str">
        <f t="shared" ref="C696:C707" si="33">"65"</f>
        <v>65</v>
      </c>
      <c r="D696" s="1">
        <v>64</v>
      </c>
    </row>
    <row r="697" spans="1:4" x14ac:dyDescent="0.25">
      <c r="A697" t="str">
        <f>"LIN-10NW2"</f>
        <v>LIN-10NW2</v>
      </c>
      <c r="B697" t="str">
        <f>"LIN LED Lichteinsatz, 11W, 4000K, schwarz"</f>
        <v>LIN LED Lichteinsatz, 11W, 4000K, schwarz</v>
      </c>
      <c r="C697" t="str">
        <f t="shared" si="33"/>
        <v>65</v>
      </c>
      <c r="D697" s="1">
        <v>64</v>
      </c>
    </row>
    <row r="698" spans="1:4" x14ac:dyDescent="0.25">
      <c r="A698" t="str">
        <f>"LIN-10SW1-2"</f>
        <v>LIN-10SW1-2</v>
      </c>
      <c r="B698" t="str">
        <f>"LIN LED Lichteinsatz, 11W, 2700K, schwarz-weiß"</f>
        <v>LIN LED Lichteinsatz, 11W, 2700K, schwarz-weiß</v>
      </c>
      <c r="C698" t="str">
        <f t="shared" si="33"/>
        <v>65</v>
      </c>
      <c r="D698" s="1">
        <v>64</v>
      </c>
    </row>
    <row r="699" spans="1:4" x14ac:dyDescent="0.25">
      <c r="A699" t="str">
        <f>"LIN-10SW2"</f>
        <v>LIN-10SW2</v>
      </c>
      <c r="B699" t="str">
        <f>"LIN LED Lichteinsatz, 11W, 2700K, schwarz"</f>
        <v>LIN LED Lichteinsatz, 11W, 2700K, schwarz</v>
      </c>
      <c r="C699" t="str">
        <f t="shared" si="33"/>
        <v>65</v>
      </c>
      <c r="D699" s="1">
        <v>64</v>
      </c>
    </row>
    <row r="700" spans="1:4" x14ac:dyDescent="0.25">
      <c r="A700" t="str">
        <f>"LIN-20NW1-2"</f>
        <v>LIN-20NW1-2</v>
      </c>
      <c r="B700" t="str">
        <f>"LIN LED Lichteinsatz, 21W, 4000K, schwarz-weiß"</f>
        <v>LIN LED Lichteinsatz, 21W, 4000K, schwarz-weiß</v>
      </c>
      <c r="C700" t="str">
        <f t="shared" si="33"/>
        <v>65</v>
      </c>
      <c r="D700" s="1">
        <v>100</v>
      </c>
    </row>
    <row r="701" spans="1:4" x14ac:dyDescent="0.25">
      <c r="A701" t="str">
        <f>"LIN-20NW2"</f>
        <v>LIN-20NW2</v>
      </c>
      <c r="B701" t="str">
        <f>"LIN LED Lichteinsatz,21W, 4000K, schwarz"</f>
        <v>LIN LED Lichteinsatz,21W, 4000K, schwarz</v>
      </c>
      <c r="C701" t="str">
        <f t="shared" si="33"/>
        <v>65</v>
      </c>
      <c r="D701" s="1">
        <v>100</v>
      </c>
    </row>
    <row r="702" spans="1:4" x14ac:dyDescent="0.25">
      <c r="A702" t="str">
        <f>"LIN-20SW1-2"</f>
        <v>LIN-20SW1-2</v>
      </c>
      <c r="B702" t="str">
        <f>"LIN LED Lichteinsatz, 21W, 2700K, schwarz-weiß"</f>
        <v>LIN LED Lichteinsatz, 21W, 2700K, schwarz-weiß</v>
      </c>
      <c r="C702" t="str">
        <f t="shared" si="33"/>
        <v>65</v>
      </c>
      <c r="D702" s="1">
        <v>100</v>
      </c>
    </row>
    <row r="703" spans="1:4" x14ac:dyDescent="0.25">
      <c r="A703" t="str">
        <f>"LIN-20SW2"</f>
        <v>LIN-20SW2</v>
      </c>
      <c r="B703" t="str">
        <f>"LIN LED Lichteinsatz, 21W, 2700K, schwarz"</f>
        <v>LIN LED Lichteinsatz, 21W, 2700K, schwarz</v>
      </c>
      <c r="C703" t="str">
        <f t="shared" si="33"/>
        <v>65</v>
      </c>
      <c r="D703" s="1">
        <v>100</v>
      </c>
    </row>
    <row r="704" spans="1:4" x14ac:dyDescent="0.25">
      <c r="A704" t="str">
        <f>"LIN-4NW1-2"</f>
        <v>LIN-4NW1-2</v>
      </c>
      <c r="B704" t="str">
        <f>"LIN LED Lichteinsatz, 5W, 4000K, schwarz-weiß"</f>
        <v>LIN LED Lichteinsatz, 5W, 4000K, schwarz-weiß</v>
      </c>
      <c r="C704" t="str">
        <f t="shared" si="33"/>
        <v>65</v>
      </c>
      <c r="D704" s="1">
        <v>36</v>
      </c>
    </row>
    <row r="705" spans="1:4" x14ac:dyDescent="0.25">
      <c r="A705" t="str">
        <f>"LIN-4NW2"</f>
        <v>LIN-4NW2</v>
      </c>
      <c r="B705" t="str">
        <f>"LIN LED Lichteinsatz, 5W, 4000K, schwarz"</f>
        <v>LIN LED Lichteinsatz, 5W, 4000K, schwarz</v>
      </c>
      <c r="C705" t="str">
        <f t="shared" si="33"/>
        <v>65</v>
      </c>
      <c r="D705" s="1">
        <v>36</v>
      </c>
    </row>
    <row r="706" spans="1:4" x14ac:dyDescent="0.25">
      <c r="A706" t="str">
        <f>"LIN-4SW1-2"</f>
        <v>LIN-4SW1-2</v>
      </c>
      <c r="B706" t="str">
        <f>"LIN LED Lichteinsatz, 5W, 2700K, schwarz-weiß"</f>
        <v>LIN LED Lichteinsatz, 5W, 2700K, schwarz-weiß</v>
      </c>
      <c r="C706" t="str">
        <f t="shared" si="33"/>
        <v>65</v>
      </c>
      <c r="D706" s="1">
        <v>36</v>
      </c>
    </row>
    <row r="707" spans="1:4" x14ac:dyDescent="0.25">
      <c r="A707" t="str">
        <f>"LIN-4SW2"</f>
        <v>LIN-4SW2</v>
      </c>
      <c r="B707" t="str">
        <f>"LIN LED Lichteinsatz, 5W, 2700K, schwarz"</f>
        <v>LIN LED Lichteinsatz, 5W, 2700K, schwarz</v>
      </c>
      <c r="C707" t="str">
        <f t="shared" si="33"/>
        <v>65</v>
      </c>
      <c r="D707" s="1">
        <v>36</v>
      </c>
    </row>
    <row r="708" spans="1:4" x14ac:dyDescent="0.25">
      <c r="A708" t="str">
        <f>"LOX-R35-16"</f>
        <v>LOX-R35-16</v>
      </c>
      <c r="B708" t="str">
        <f>"LOX, glanzverchromter Reflektor aus Polycarbonat  35° zu LOX"</f>
        <v>LOX, glanzverchromter Reflektor aus Polycarbonat  35° zu LOX</v>
      </c>
      <c r="C708" t="str">
        <f t="shared" ref="C708:C716" si="34">"67"</f>
        <v>67</v>
      </c>
      <c r="D708" s="1">
        <v>5</v>
      </c>
    </row>
    <row r="709" spans="1:4" x14ac:dyDescent="0.25">
      <c r="A709" t="str">
        <f>"LOX-16NW1-2"</f>
        <v>LOX-16NW1-2</v>
      </c>
      <c r="B709" t="str">
        <f>"LOX, Kardanische Einbauleuchte, LED,15W, CRI 80, 4000K, 35°,schwarz-weiß"</f>
        <v>LOX, Kardanische Einbauleuchte, LED,15W, CRI 80, 4000K, 35°,schwarz-weiß</v>
      </c>
      <c r="C709" t="str">
        <f t="shared" si="34"/>
        <v>67</v>
      </c>
      <c r="D709" s="1">
        <v>112.5</v>
      </c>
    </row>
    <row r="710" spans="1:4" x14ac:dyDescent="0.25">
      <c r="A710" t="str">
        <f>"LOX-16NW2"</f>
        <v>LOX-16NW2</v>
      </c>
      <c r="B710" t="str">
        <f>"LOX, Kardanische Einbauleuchte, LED,15W, CRI 80, 4000K, 35°,schwarz"</f>
        <v>LOX, Kardanische Einbauleuchte, LED,15W, CRI 80, 4000K, 35°,schwarz</v>
      </c>
      <c r="C710" t="str">
        <f t="shared" si="34"/>
        <v>67</v>
      </c>
      <c r="D710" s="1">
        <v>112.5</v>
      </c>
    </row>
    <row r="711" spans="1:4" x14ac:dyDescent="0.25">
      <c r="A711" t="str">
        <f>"LOX-16WW1-2"</f>
        <v>LOX-16WW1-2</v>
      </c>
      <c r="B711" t="str">
        <f>"LOX, Kardanische Einbauleuchte, LED,15W, CRI 80, 3000K, 35°,schwarz-weiß"</f>
        <v>LOX, Kardanische Einbauleuchte, LED,15W, CRI 80, 3000K, 35°,schwarz-weiß</v>
      </c>
      <c r="C711" t="str">
        <f t="shared" si="34"/>
        <v>67</v>
      </c>
      <c r="D711" s="1">
        <v>112.5</v>
      </c>
    </row>
    <row r="712" spans="1:4" x14ac:dyDescent="0.25">
      <c r="A712" t="str">
        <f>"LOX-16WW2"</f>
        <v>LOX-16WW2</v>
      </c>
      <c r="B712" t="str">
        <f>"LOX, Kardanische Einbauleuchte, LED,15W, CRI 80, 3000K, 35°,schwarz"</f>
        <v>LOX, Kardanische Einbauleuchte, LED,15W, CRI 80, 3000K, 35°,schwarz</v>
      </c>
      <c r="C712" t="str">
        <f t="shared" si="34"/>
        <v>67</v>
      </c>
      <c r="D712" s="1">
        <v>112.5</v>
      </c>
    </row>
    <row r="713" spans="1:4" x14ac:dyDescent="0.25">
      <c r="A713" t="str">
        <f>"LOX-216NW1-2"</f>
        <v>LOX-216NW1-2</v>
      </c>
      <c r="B713" t="str">
        <f>"LOX, Kardanische Einbauleuchte, LED, 2x15W, CRI 80, 4000K,35°,schwarz-weiß"</f>
        <v>LOX, Kardanische Einbauleuchte, LED, 2x15W, CRI 80, 4000K,35°,schwarz-weiß</v>
      </c>
      <c r="C713" t="str">
        <f t="shared" si="34"/>
        <v>67</v>
      </c>
      <c r="D713" s="1">
        <v>165</v>
      </c>
    </row>
    <row r="714" spans="1:4" x14ac:dyDescent="0.25">
      <c r="A714" t="str">
        <f>"LOX-216NW2"</f>
        <v>LOX-216NW2</v>
      </c>
      <c r="B714" t="str">
        <f>"LOX, Kardanische Einbauleuchte, LED, 2x15W, CRI 80, 4000K, 35°,schwarz"</f>
        <v>LOX, Kardanische Einbauleuchte, LED, 2x15W, CRI 80, 4000K, 35°,schwarz</v>
      </c>
      <c r="C714" t="str">
        <f t="shared" si="34"/>
        <v>67</v>
      </c>
      <c r="D714" s="1">
        <v>165</v>
      </c>
    </row>
    <row r="715" spans="1:4" x14ac:dyDescent="0.25">
      <c r="A715" t="str">
        <f>"LOX-216WW1-2"</f>
        <v>LOX-216WW1-2</v>
      </c>
      <c r="B715" t="str">
        <f>"LOX, Kardanische Einbauleuchte, LED, 2x15W, CRI 80, 3000K, 35°,schwarz-weiß"</f>
        <v>LOX, Kardanische Einbauleuchte, LED, 2x15W, CRI 80, 3000K, 35°,schwarz-weiß</v>
      </c>
      <c r="C715" t="str">
        <f t="shared" si="34"/>
        <v>67</v>
      </c>
      <c r="D715" s="1">
        <v>165</v>
      </c>
    </row>
    <row r="716" spans="1:4" x14ac:dyDescent="0.25">
      <c r="A716" t="str">
        <f>"LOX-216WW2"</f>
        <v>LOX-216WW2</v>
      </c>
      <c r="B716" t="str">
        <f>"LOX, Kardanische Einbauleuchte, LED, 2x15W, CRI 80, 3000K, 35°,schwarz"</f>
        <v>LOX, Kardanische Einbauleuchte, LED, 2x15W, CRI 80, 3000K, 35°,schwarz</v>
      </c>
      <c r="C716" t="str">
        <f t="shared" si="34"/>
        <v>67</v>
      </c>
      <c r="D716" s="1">
        <v>165</v>
      </c>
    </row>
    <row r="717" spans="1:4" x14ac:dyDescent="0.25">
      <c r="A717" t="str">
        <f>"LPL-35WW01"</f>
        <v>LPL-35WW01</v>
      </c>
      <c r="B717" t="str">
        <f>"LPL Pendelleuchte, COB LED 35W, 3000K, Gehäuse weiß/silber"</f>
        <v>LPL Pendelleuchte, COB LED 35W, 3000K, Gehäuse weiß/silber</v>
      </c>
      <c r="C717" t="str">
        <f>"139"</f>
        <v>139</v>
      </c>
      <c r="D717" s="1">
        <v>205</v>
      </c>
    </row>
    <row r="718" spans="1:4" x14ac:dyDescent="0.25">
      <c r="A718" t="str">
        <f>"LPL-35WW02"</f>
        <v>LPL-35WW02</v>
      </c>
      <c r="B718" t="str">
        <f>"LPL Pendelleuchte, COB LED 35W, 3000K, Gehäuse schwarz/gold"</f>
        <v>LPL Pendelleuchte, COB LED 35W, 3000K, Gehäuse schwarz/gold</v>
      </c>
      <c r="C718" t="str">
        <f>"139"</f>
        <v>139</v>
      </c>
      <c r="D718" s="1">
        <v>205</v>
      </c>
    </row>
    <row r="719" spans="1:4" x14ac:dyDescent="0.25">
      <c r="A719" t="str">
        <f>"LPL-35WW11"</f>
        <v>LPL-35WW11</v>
      </c>
      <c r="B719" t="str">
        <f>"LPL Pendelleuchte, COB LED 35W, 3000K, Gehäuse weiß/silber"</f>
        <v>LPL Pendelleuchte, COB LED 35W, 3000K, Gehäuse weiß/silber</v>
      </c>
      <c r="C719" t="str">
        <f>"139"</f>
        <v>139</v>
      </c>
      <c r="D719" s="1">
        <v>228</v>
      </c>
    </row>
    <row r="720" spans="1:4" x14ac:dyDescent="0.25">
      <c r="A720" t="str">
        <f>"LPL-35WW12"</f>
        <v>LPL-35WW12</v>
      </c>
      <c r="B720" t="str">
        <f>"LPL Pendelleuchte, COB LED 35W, 3000K, Gehäuse schwarz/gold"</f>
        <v>LPL Pendelleuchte, COB LED 35W, 3000K, Gehäuse schwarz/gold</v>
      </c>
      <c r="C720" t="str">
        <f>"139"</f>
        <v>139</v>
      </c>
      <c r="D720" s="1">
        <v>228</v>
      </c>
    </row>
    <row r="721" spans="1:4" x14ac:dyDescent="0.25">
      <c r="A721" t="str">
        <f>"LRN-1400"</f>
        <v>LRN-1400</v>
      </c>
      <c r="B721" t="str">
        <f>"LRN, Feuchtraum-Rohrleuchte, T16, 1x14W, G5, EVG"</f>
        <v>LRN, Feuchtraum-Rohrleuchte, T16, 1x14W, G5, EVG</v>
      </c>
      <c r="C721" t="str">
        <f t="shared" ref="C721:C734" si="35">"111"</f>
        <v>111</v>
      </c>
      <c r="D721" s="1">
        <v>90</v>
      </c>
    </row>
    <row r="722" spans="1:4" x14ac:dyDescent="0.25">
      <c r="A722" t="str">
        <f>"LRN-2100"</f>
        <v>LRN-2100</v>
      </c>
      <c r="B722" t="str">
        <f>"LRN, Feuchtraum-Rohrleuchte, T16, 1x21W, G5, EVG"</f>
        <v>LRN, Feuchtraum-Rohrleuchte, T16, 1x21W, G5, EVG</v>
      </c>
      <c r="C722" t="str">
        <f t="shared" si="35"/>
        <v>111</v>
      </c>
      <c r="D722" s="1">
        <v>92.5</v>
      </c>
    </row>
    <row r="723" spans="1:4" x14ac:dyDescent="0.25">
      <c r="A723" t="str">
        <f>"LRN-2800"</f>
        <v>LRN-2800</v>
      </c>
      <c r="B723" t="str">
        <f>"LRN, Feuchtraum-Rohrleuchte, T16, 1x28W, G5, EVG"</f>
        <v>LRN, Feuchtraum-Rohrleuchte, T16, 1x28W, G5, EVG</v>
      </c>
      <c r="C723" t="str">
        <f t="shared" si="35"/>
        <v>111</v>
      </c>
      <c r="D723" s="1">
        <v>92.5</v>
      </c>
    </row>
    <row r="724" spans="1:4" x14ac:dyDescent="0.25">
      <c r="A724" t="str">
        <f>"LRN-3500"</f>
        <v>LRN-3500</v>
      </c>
      <c r="B724" t="str">
        <f>"LRN, Feuchtraum-Rohrleuchte, T16, 1x35W, G5, EVG"</f>
        <v>LRN, Feuchtraum-Rohrleuchte, T16, 1x35W, G5, EVG</v>
      </c>
      <c r="C724" t="str">
        <f t="shared" si="35"/>
        <v>111</v>
      </c>
      <c r="D724" s="1">
        <v>100</v>
      </c>
    </row>
    <row r="725" spans="1:4" x14ac:dyDescent="0.25">
      <c r="A725" t="str">
        <f>"LRN-5400"</f>
        <v>LRN-5400</v>
      </c>
      <c r="B725" t="str">
        <f>"LRN, Feuchtraum-Rohrleuchte, T16, 1x54W, G5, EVG"</f>
        <v>LRN, Feuchtraum-Rohrleuchte, T16, 1x54W, G5, EVG</v>
      </c>
      <c r="C725" t="str">
        <f t="shared" si="35"/>
        <v>111</v>
      </c>
      <c r="D725" s="1">
        <v>92.5</v>
      </c>
    </row>
    <row r="726" spans="1:4" x14ac:dyDescent="0.25">
      <c r="A726" t="str">
        <f>"LRON-2100"</f>
        <v>LRON-2100</v>
      </c>
      <c r="B726" t="str">
        <f>"LRON Feuchtraum-Rohrleuchte, T16, 1x21W, G5, EVG"</f>
        <v>LRON Feuchtraum-Rohrleuchte, T16, 1x21W, G5, EVG</v>
      </c>
      <c r="C726" t="str">
        <f t="shared" si="35"/>
        <v>111</v>
      </c>
      <c r="D726" s="1">
        <v>92.5</v>
      </c>
    </row>
    <row r="727" spans="1:4" x14ac:dyDescent="0.25">
      <c r="A727" t="str">
        <f>"LRON-2800"</f>
        <v>LRON-2800</v>
      </c>
      <c r="B727" t="str">
        <f>"LRON Feuchtraum-Rohrleuchte, T16, 1x28W, G5, EVG"</f>
        <v>LRON Feuchtraum-Rohrleuchte, T16, 1x28W, G5, EVG</v>
      </c>
      <c r="C727" t="str">
        <f t="shared" si="35"/>
        <v>111</v>
      </c>
      <c r="D727" s="1">
        <v>92.5</v>
      </c>
    </row>
    <row r="728" spans="1:4" x14ac:dyDescent="0.25">
      <c r="A728" t="str">
        <f>"LRON-33CWF"</f>
        <v>LRON-33CWF</v>
      </c>
      <c r="B728" t="str">
        <f>"LRON Feuchtraum-Rohrleuchte, LED, 27W, 6500K"</f>
        <v>LRON Feuchtraum-Rohrleuchte, LED, 27W, 6500K</v>
      </c>
      <c r="C728" t="str">
        <f t="shared" si="35"/>
        <v>111</v>
      </c>
      <c r="D728" s="1">
        <v>260</v>
      </c>
    </row>
    <row r="729" spans="1:4" x14ac:dyDescent="0.25">
      <c r="A729" t="str">
        <f>"LRON-33CWF-DV"</f>
        <v>LRON-33CWF-DV</v>
      </c>
      <c r="B729" t="str">
        <f>"LRON Feuchtraum-Rohrleuchte, LED, 27W, 6500K"</f>
        <v>LRON Feuchtraum-Rohrleuchte, LED, 27W, 6500K</v>
      </c>
      <c r="C729" t="str">
        <f t="shared" si="35"/>
        <v>111</v>
      </c>
      <c r="D729" s="1">
        <v>275</v>
      </c>
    </row>
    <row r="730" spans="1:4" x14ac:dyDescent="0.25">
      <c r="A730" t="str">
        <f>"LRON-33NWF"</f>
        <v>LRON-33NWF</v>
      </c>
      <c r="B730" t="str">
        <f>"LRON Feuchtraum-Rohrleuchte, LED, 31W, 4000K"</f>
        <v>LRON Feuchtraum-Rohrleuchte, LED, 31W, 4000K</v>
      </c>
      <c r="C730" t="str">
        <f t="shared" si="35"/>
        <v>111</v>
      </c>
      <c r="D730" s="1">
        <v>260</v>
      </c>
    </row>
    <row r="731" spans="1:4" x14ac:dyDescent="0.25">
      <c r="A731" t="str">
        <f>"LRON-33SWF"</f>
        <v>LRON-33SWF</v>
      </c>
      <c r="B731" t="str">
        <f>"LRON Feuchtraum-Rohrleuchte, LED, 27W, 2700K"</f>
        <v>LRON Feuchtraum-Rohrleuchte, LED, 27W, 2700K</v>
      </c>
      <c r="C731" t="str">
        <f t="shared" si="35"/>
        <v>111</v>
      </c>
      <c r="D731" s="1">
        <v>260</v>
      </c>
    </row>
    <row r="732" spans="1:4" x14ac:dyDescent="0.25">
      <c r="A732" t="str">
        <f>"LRON-33WWF"</f>
        <v>LRON-33WWF</v>
      </c>
      <c r="B732" t="str">
        <f>"LRON Feuchtraum-Rohrleuchte, LED, 27W, 3000K"</f>
        <v>LRON Feuchtraum-Rohrleuchte, LED, 27W, 3000K</v>
      </c>
      <c r="C732" t="str">
        <f t="shared" si="35"/>
        <v>111</v>
      </c>
      <c r="D732" s="1">
        <v>260</v>
      </c>
    </row>
    <row r="733" spans="1:4" x14ac:dyDescent="0.25">
      <c r="A733" t="str">
        <f>"LRON-3500"</f>
        <v>LRON-3500</v>
      </c>
      <c r="B733" t="str">
        <f>"LRON Feuchtraum-Rohrleuchte, T16, 1x35W, G5, EVG"</f>
        <v>LRON Feuchtraum-Rohrleuchte, T16, 1x35W, G5, EVG</v>
      </c>
      <c r="C733" t="str">
        <f t="shared" si="35"/>
        <v>111</v>
      </c>
      <c r="D733" s="1">
        <v>100</v>
      </c>
    </row>
    <row r="734" spans="1:4" x14ac:dyDescent="0.25">
      <c r="A734" t="str">
        <f>"LRON-5400"</f>
        <v>LRON-5400</v>
      </c>
      <c r="B734" t="str">
        <f>"LRON Feuchtraum-Rohrleuchte, T16, 1x54W, G5, EVG"</f>
        <v>LRON Feuchtraum-Rohrleuchte, T16, 1x54W, G5, EVG</v>
      </c>
      <c r="C734" t="str">
        <f t="shared" si="35"/>
        <v>111</v>
      </c>
      <c r="D734" s="1">
        <v>92.5</v>
      </c>
    </row>
    <row r="735" spans="1:4" x14ac:dyDescent="0.25">
      <c r="A735" t="str">
        <f>"LUNS-15NW1"</f>
        <v>LUNS-15NW1</v>
      </c>
      <c r="B735" t="str">
        <f>"LUNETTE Ø235mm, LED Wand-und Deckenanbauleuchte, 15W, 4000K, N+S , Weiß"</f>
        <v>LUNETTE Ø235mm, LED Wand-und Deckenanbauleuchte, 15W, 4000K, N+S , Weiß</v>
      </c>
      <c r="C735" t="str">
        <f t="shared" ref="C735:C772" si="36">"183"</f>
        <v>183</v>
      </c>
      <c r="D735" s="1">
        <v>452.5</v>
      </c>
    </row>
    <row r="736" spans="1:4" x14ac:dyDescent="0.25">
      <c r="A736" t="str">
        <f>"LUNS-15NW6"</f>
        <v>LUNS-15NW6</v>
      </c>
      <c r="B736" t="str">
        <f>"LUNETTE Ø235mm, LED Wand-und Deckenanbauleuchte, 15W, 4000K, N+S, Graphitrgau"</f>
        <v>LUNETTE Ø235mm, LED Wand-und Deckenanbauleuchte, 15W, 4000K, N+S, Graphitrgau</v>
      </c>
      <c r="C736" t="str">
        <f t="shared" si="36"/>
        <v>183</v>
      </c>
      <c r="D736" s="1">
        <v>452.5</v>
      </c>
    </row>
    <row r="737" spans="1:4" x14ac:dyDescent="0.25">
      <c r="A737" t="str">
        <f>"LUNS-15NW7"</f>
        <v>LUNS-15NW7</v>
      </c>
      <c r="B737" t="str">
        <f>"LUNETTE Ø235mm, LED Wand-und Deckenanbauleuchte, 15W, 4000K, N+S, Metallgrau"</f>
        <v>LUNETTE Ø235mm, LED Wand-und Deckenanbauleuchte, 15W, 4000K, N+S, Metallgrau</v>
      </c>
      <c r="C737" t="str">
        <f t="shared" si="36"/>
        <v>183</v>
      </c>
      <c r="D737" s="1">
        <v>452.5</v>
      </c>
    </row>
    <row r="738" spans="1:4" x14ac:dyDescent="0.25">
      <c r="A738" t="str">
        <f>"LUNS-15WW1"</f>
        <v>LUNS-15WW1</v>
      </c>
      <c r="B738" t="str">
        <f>"LUNETTE Ø235mm, LED Wand-und Deckenanbauleuchte, 15W, 3000K, N+S, Weiß"</f>
        <v>LUNETTE Ø235mm, LED Wand-und Deckenanbauleuchte, 15W, 3000K, N+S, Weiß</v>
      </c>
      <c r="C738" t="str">
        <f t="shared" si="36"/>
        <v>183</v>
      </c>
      <c r="D738" s="1">
        <v>452.5</v>
      </c>
    </row>
    <row r="739" spans="1:4" x14ac:dyDescent="0.25">
      <c r="A739" t="str">
        <f>"LUNS-15WW6"</f>
        <v>LUNS-15WW6</v>
      </c>
      <c r="B739" t="str">
        <f>"LUNETTE Ø235mm, LED Wand-und Deckenanbauleuchte, 15W, 3000K, N+S, Graphitgrau"</f>
        <v>LUNETTE Ø235mm, LED Wand-und Deckenanbauleuchte, 15W, 3000K, N+S, Graphitgrau</v>
      </c>
      <c r="C739" t="str">
        <f t="shared" si="36"/>
        <v>183</v>
      </c>
      <c r="D739" s="1">
        <v>452.5</v>
      </c>
    </row>
    <row r="740" spans="1:4" x14ac:dyDescent="0.25">
      <c r="A740" t="str">
        <f>"LUNS-15WW7"</f>
        <v>LUNS-15WW7</v>
      </c>
      <c r="B740" t="str">
        <f>"LUNETTE Ø235mm, LED Wand-und Deckenanbauleuchte, 15W, 3000K, N+S, Metallgrau"</f>
        <v>LUNETTE Ø235mm, LED Wand-und Deckenanbauleuchte, 15W, 3000K, N+S, Metallgrau</v>
      </c>
      <c r="C740" t="str">
        <f t="shared" si="36"/>
        <v>183</v>
      </c>
      <c r="D740" s="1">
        <v>452.5</v>
      </c>
    </row>
    <row r="741" spans="1:4" x14ac:dyDescent="0.25">
      <c r="A741" t="str">
        <f>"LUNS-30NW1"</f>
        <v>LUNS-30NW1</v>
      </c>
      <c r="B741" t="str">
        <f>"LUNETTE Ø365mm, LED Wand-und Deckenanbauleuchte, 30W, 4000K, N+S, Weiß"</f>
        <v>LUNETTE Ø365mm, LED Wand-und Deckenanbauleuchte, 30W, 4000K, N+S, Weiß</v>
      </c>
      <c r="C741" t="str">
        <f t="shared" si="36"/>
        <v>183</v>
      </c>
      <c r="D741" s="1">
        <v>552.5</v>
      </c>
    </row>
    <row r="742" spans="1:4" x14ac:dyDescent="0.25">
      <c r="A742" t="str">
        <f>"LUNS-30NW6"</f>
        <v>LUNS-30NW6</v>
      </c>
      <c r="B742" t="str">
        <f>"LUNETTE Ø365mm, LED Wand-und Deckenanbauleuchte, 30W, 4000K, N+S, Graphitrgau"</f>
        <v>LUNETTE Ø365mm, LED Wand-und Deckenanbauleuchte, 30W, 4000K, N+S, Graphitrgau</v>
      </c>
      <c r="C742" t="str">
        <f t="shared" si="36"/>
        <v>183</v>
      </c>
      <c r="D742" s="1">
        <v>552.5</v>
      </c>
    </row>
    <row r="743" spans="1:4" x14ac:dyDescent="0.25">
      <c r="A743" t="str">
        <f>"LUNS-30NW7"</f>
        <v>LUNS-30NW7</v>
      </c>
      <c r="B743" t="str">
        <f>"LUNETTE Ø365mm, LED Wand-und Deckenanbauleuchte, 30W, 4000K, N+S,  Metallgrau"</f>
        <v>LUNETTE Ø365mm, LED Wand-und Deckenanbauleuchte, 30W, 4000K, N+S,  Metallgrau</v>
      </c>
      <c r="C743" t="str">
        <f t="shared" si="36"/>
        <v>183</v>
      </c>
      <c r="D743" s="1">
        <v>552.5</v>
      </c>
    </row>
    <row r="744" spans="1:4" x14ac:dyDescent="0.25">
      <c r="A744" t="str">
        <f>"LUNS-30WW1"</f>
        <v>LUNS-30WW1</v>
      </c>
      <c r="B744" t="str">
        <f>"LUNETTE Ø365mm, LED Wand-und Deckenanbauleuchte, 30W, 3000K, N+S,  Weiß"</f>
        <v>LUNETTE Ø365mm, LED Wand-und Deckenanbauleuchte, 30W, 3000K, N+S,  Weiß</v>
      </c>
      <c r="C744" t="str">
        <f t="shared" si="36"/>
        <v>183</v>
      </c>
      <c r="D744" s="1">
        <v>552.5</v>
      </c>
    </row>
    <row r="745" spans="1:4" x14ac:dyDescent="0.25">
      <c r="A745" t="str">
        <f>"LUNS-30WW6"</f>
        <v>LUNS-30WW6</v>
      </c>
      <c r="B745" t="str">
        <f>"LUNETTE Ø365mm, LED Wand-und Deckenanbauleuchte, 30W, 3000K, N+S, Graphitgrau"</f>
        <v>LUNETTE Ø365mm, LED Wand-und Deckenanbauleuchte, 30W, 3000K, N+S, Graphitgrau</v>
      </c>
      <c r="C745" t="str">
        <f t="shared" si="36"/>
        <v>183</v>
      </c>
      <c r="D745" s="1">
        <v>552.5</v>
      </c>
    </row>
    <row r="746" spans="1:4" x14ac:dyDescent="0.25">
      <c r="A746" t="str">
        <f>"LUNS-30WW7"</f>
        <v>LUNS-30WW7</v>
      </c>
      <c r="B746" t="str">
        <f>"LUNETTE Ø365mm, LED Wand-und Deckenanbauleuchte, 30W, 3000K, N+S, Metallgrau"</f>
        <v>LUNETTE Ø365mm, LED Wand-und Deckenanbauleuchte, 30W, 3000K, N+S, Metallgrau</v>
      </c>
      <c r="C746" t="str">
        <f t="shared" si="36"/>
        <v>183</v>
      </c>
      <c r="D746" s="1">
        <v>552.5</v>
      </c>
    </row>
    <row r="747" spans="1:4" x14ac:dyDescent="0.25">
      <c r="A747" t="str">
        <f>"LUN-15NW1"</f>
        <v>LUN-15NW1</v>
      </c>
      <c r="B747" t="str">
        <f>"LUNETTE Ø235mm, LED Wand-und Deckenanbauleuchte, 15W, 4000K, 3h Notl., Weiß"</f>
        <v>LUNETTE Ø235mm, LED Wand-und Deckenanbauleuchte, 15W, 4000K, 3h Notl., Weiß</v>
      </c>
      <c r="C747" t="str">
        <f t="shared" si="36"/>
        <v>183</v>
      </c>
      <c r="D747" s="1">
        <v>352.5</v>
      </c>
    </row>
    <row r="748" spans="1:4" x14ac:dyDescent="0.25">
      <c r="A748" t="str">
        <f>"LUN-15NW6"</f>
        <v>LUN-15NW6</v>
      </c>
      <c r="B748" t="str">
        <f>"LUNETTE Ø235mm, LED Wand-und Deckenanbauleuchte, 15W, 4000K, 3h Notl.,Graphitgr."</f>
        <v>LUNETTE Ø235mm, LED Wand-und Deckenanbauleuchte, 15W, 4000K, 3h Notl.,Graphitgr.</v>
      </c>
      <c r="C748" t="str">
        <f t="shared" si="36"/>
        <v>183</v>
      </c>
      <c r="D748" s="1">
        <v>352.5</v>
      </c>
    </row>
    <row r="749" spans="1:4" x14ac:dyDescent="0.25">
      <c r="A749" t="str">
        <f>"LUN-15NW7"</f>
        <v>LUN-15NW7</v>
      </c>
      <c r="B749" t="str">
        <f>"LUNETTE Ø235mm, LED Wand-und Deckenanbauleuchte, 15W, 4000K, 3h Notl., Metallgr."</f>
        <v>LUNETTE Ø235mm, LED Wand-und Deckenanbauleuchte, 15W, 4000K, 3h Notl., Metallgr.</v>
      </c>
      <c r="C749" t="str">
        <f t="shared" si="36"/>
        <v>183</v>
      </c>
      <c r="D749" s="1">
        <v>352.5</v>
      </c>
    </row>
    <row r="750" spans="1:4" x14ac:dyDescent="0.25">
      <c r="A750" t="str">
        <f>"LUN-15WW1"</f>
        <v>LUN-15WW1</v>
      </c>
      <c r="B750" t="str">
        <f>"LUNETTE Ø235mm, LED Wand-und Deckenanbauleuchte, 15W, 3000K, 3h Notl., Weiß"</f>
        <v>LUNETTE Ø235mm, LED Wand-und Deckenanbauleuchte, 15W, 3000K, 3h Notl., Weiß</v>
      </c>
      <c r="C750" t="str">
        <f t="shared" si="36"/>
        <v>183</v>
      </c>
      <c r="D750" s="1">
        <v>352.5</v>
      </c>
    </row>
    <row r="751" spans="1:4" x14ac:dyDescent="0.25">
      <c r="A751" t="str">
        <f>"LUN-15WW6"</f>
        <v>LUN-15WW6</v>
      </c>
      <c r="B751" t="str">
        <f>"LUNETTE Ø235mm, LED Wand-und Deckenanbauleuchte, 15W, 3000K, 3h Notl.,Graphitgr."</f>
        <v>LUNETTE Ø235mm, LED Wand-und Deckenanbauleuchte, 15W, 3000K, 3h Notl.,Graphitgr.</v>
      </c>
      <c r="C751" t="str">
        <f t="shared" si="36"/>
        <v>183</v>
      </c>
      <c r="D751" s="1">
        <v>352.5</v>
      </c>
    </row>
    <row r="752" spans="1:4" x14ac:dyDescent="0.25">
      <c r="A752" t="str">
        <f>"LUN-15WW7"</f>
        <v>LUN-15WW7</v>
      </c>
      <c r="B752" t="str">
        <f>"LUNETTE Ø235mm, LED Wand-und Deckenanbauleuchte, 15W, 3000K, 3h Notl.,Metallgr."</f>
        <v>LUNETTE Ø235mm, LED Wand-und Deckenanbauleuchte, 15W, 3000K, 3h Notl.,Metallgr.</v>
      </c>
      <c r="C752" t="str">
        <f t="shared" si="36"/>
        <v>183</v>
      </c>
      <c r="D752" s="1">
        <v>352.5</v>
      </c>
    </row>
    <row r="753" spans="1:4" x14ac:dyDescent="0.25">
      <c r="A753" t="str">
        <f>"LUN-30NW1"</f>
        <v>LUN-30NW1</v>
      </c>
      <c r="B753" t="str">
        <f>"LUNETTE Ø365mm, LED Wand-und Deckenanbauleuchte, 30W, 4000K, 3h Notl., Weiß"</f>
        <v>LUNETTE Ø365mm, LED Wand-und Deckenanbauleuchte, 30W, 4000K, 3h Notl., Weiß</v>
      </c>
      <c r="C753" t="str">
        <f t="shared" si="36"/>
        <v>183</v>
      </c>
      <c r="D753" s="1">
        <v>445</v>
      </c>
    </row>
    <row r="754" spans="1:4" x14ac:dyDescent="0.25">
      <c r="A754" t="str">
        <f>"LUN-30NW6"</f>
        <v>LUN-30NW6</v>
      </c>
      <c r="B754" t="str">
        <f>"LUNETTE Ø365mm, LED Wand-und Deckenanbauleuchte, 30W, 4000K, 3h Notl.,Graphitgr."</f>
        <v>LUNETTE Ø365mm, LED Wand-und Deckenanbauleuchte, 30W, 4000K, 3h Notl.,Graphitgr.</v>
      </c>
      <c r="C754" t="str">
        <f t="shared" si="36"/>
        <v>183</v>
      </c>
      <c r="D754" s="1">
        <v>445</v>
      </c>
    </row>
    <row r="755" spans="1:4" x14ac:dyDescent="0.25">
      <c r="A755" t="str">
        <f>"LUN-30NW7"</f>
        <v>LUN-30NW7</v>
      </c>
      <c r="B755" t="str">
        <f>"LUNETTE Ø365mm, LED Wand-und Deckenanbauleuchte, 30W, 4000K, 3h Notl.,Metallgr."</f>
        <v>LUNETTE Ø365mm, LED Wand-und Deckenanbauleuchte, 30W, 4000K, 3h Notl.,Metallgr.</v>
      </c>
      <c r="C755" t="str">
        <f t="shared" si="36"/>
        <v>183</v>
      </c>
      <c r="D755" s="1">
        <v>445</v>
      </c>
    </row>
    <row r="756" spans="1:4" x14ac:dyDescent="0.25">
      <c r="A756" t="str">
        <f>"LUN-30WW1"</f>
        <v>LUN-30WW1</v>
      </c>
      <c r="B756" t="str">
        <f>"LUNETTE Ø365mm, LED Wand-und Deckenanbauleuchte, 30W, 3000K, 3h Notl., Weiß"</f>
        <v>LUNETTE Ø365mm, LED Wand-und Deckenanbauleuchte, 30W, 3000K, 3h Notl., Weiß</v>
      </c>
      <c r="C756" t="str">
        <f t="shared" si="36"/>
        <v>183</v>
      </c>
      <c r="D756" s="1">
        <v>445</v>
      </c>
    </row>
    <row r="757" spans="1:4" x14ac:dyDescent="0.25">
      <c r="A757" t="str">
        <f>"LUN-30WW6"</f>
        <v>LUN-30WW6</v>
      </c>
      <c r="B757" t="str">
        <f>"LUNETTE Ø365mm, LED Wand-und Deckenanbauleuchte, 30W, 3000K, 3h Notl.,Graphitgr."</f>
        <v>LUNETTE Ø365mm, LED Wand-und Deckenanbauleuchte, 30W, 3000K, 3h Notl.,Graphitgr.</v>
      </c>
      <c r="C757" t="str">
        <f t="shared" si="36"/>
        <v>183</v>
      </c>
      <c r="D757" s="1">
        <v>445</v>
      </c>
    </row>
    <row r="758" spans="1:4" x14ac:dyDescent="0.25">
      <c r="A758" t="str">
        <f>"LUN-30WW7"</f>
        <v>LUN-30WW7</v>
      </c>
      <c r="B758" t="str">
        <f>"LUNETTE Ø365mm, LED Wand-und Deckenanbauleuchte, 30W, 3000K, 3h Notl.,Metallgr."</f>
        <v>LUNETTE Ø365mm, LED Wand-und Deckenanbauleuchte, 30W, 3000K, 3h Notl.,Metallgr.</v>
      </c>
      <c r="C758" t="str">
        <f t="shared" si="36"/>
        <v>183</v>
      </c>
      <c r="D758" s="1">
        <v>445</v>
      </c>
    </row>
    <row r="759" spans="1:4" x14ac:dyDescent="0.25">
      <c r="A759" t="str">
        <f>"LUS-15NW1"</f>
        <v>LUS-15NW1</v>
      </c>
      <c r="B759" t="str">
        <f>"LUNETTE Ø235mm, LED Wand-und Deckenanbauleuchte, 15W, 4000K, Sensor, Weiß"</f>
        <v>LUNETTE Ø235mm, LED Wand-und Deckenanbauleuchte, 15W, 4000K, Sensor, Weiß</v>
      </c>
      <c r="C759" t="str">
        <f t="shared" si="36"/>
        <v>183</v>
      </c>
      <c r="D759" s="1">
        <v>312.5</v>
      </c>
    </row>
    <row r="760" spans="1:4" x14ac:dyDescent="0.25">
      <c r="A760" t="str">
        <f>"LUS-15NW6"</f>
        <v>LUS-15NW6</v>
      </c>
      <c r="B760" t="str">
        <f>"LUNETTE Ø235mm, LED Wand-und Deckenanbauleuchte, 15W, 4000K, Sensor, Graphitrgau"</f>
        <v>LUNETTE Ø235mm, LED Wand-und Deckenanbauleuchte, 15W, 4000K, Sensor, Graphitrgau</v>
      </c>
      <c r="C760" t="str">
        <f t="shared" si="36"/>
        <v>183</v>
      </c>
      <c r="D760" s="1">
        <v>312.5</v>
      </c>
    </row>
    <row r="761" spans="1:4" x14ac:dyDescent="0.25">
      <c r="A761" t="str">
        <f>"LUS-15NW7"</f>
        <v>LUS-15NW7</v>
      </c>
      <c r="B761" t="str">
        <f>"LUNETTE Ø235mm, LED Wand-und Deckenanbauleuchte, 15W, 4000K, Sensor, Metallgrau"</f>
        <v>LUNETTE Ø235mm, LED Wand-und Deckenanbauleuchte, 15W, 4000K, Sensor, Metallgrau</v>
      </c>
      <c r="C761" t="str">
        <f t="shared" si="36"/>
        <v>183</v>
      </c>
      <c r="D761" s="1">
        <v>312.5</v>
      </c>
    </row>
    <row r="762" spans="1:4" x14ac:dyDescent="0.25">
      <c r="A762" t="str">
        <f>"LUS-15WW1"</f>
        <v>LUS-15WW1</v>
      </c>
      <c r="B762" t="str">
        <f>"LUNETTE Ø235mm, LED Wand-und Deckenanbauleuchte, 15W, 3000K, Sensor, Weiß"</f>
        <v>LUNETTE Ø235mm, LED Wand-und Deckenanbauleuchte, 15W, 3000K, Sensor, Weiß</v>
      </c>
      <c r="C762" t="str">
        <f t="shared" si="36"/>
        <v>183</v>
      </c>
      <c r="D762" s="1">
        <v>312.5</v>
      </c>
    </row>
    <row r="763" spans="1:4" x14ac:dyDescent="0.25">
      <c r="A763" t="str">
        <f>"LUS-15WW6"</f>
        <v>LUS-15WW6</v>
      </c>
      <c r="B763" t="str">
        <f>"LUNETTE Ø235mm, LED Wand-und Deckenanbauleuchte, 15W, 3000K, Sensor, Graphitgrau"</f>
        <v>LUNETTE Ø235mm, LED Wand-und Deckenanbauleuchte, 15W, 3000K, Sensor, Graphitgrau</v>
      </c>
      <c r="C763" t="str">
        <f t="shared" si="36"/>
        <v>183</v>
      </c>
      <c r="D763" s="1">
        <v>312.5</v>
      </c>
    </row>
    <row r="764" spans="1:4" x14ac:dyDescent="0.25">
      <c r="A764" t="str">
        <f>"LUS-15WW7"</f>
        <v>LUS-15WW7</v>
      </c>
      <c r="B764" t="str">
        <f>"LUNETTE Ø235mm, LED Wand-und Deckenanbauleuchte, 15W, 3000K, Sensor, Metallgrau"</f>
        <v>LUNETTE Ø235mm, LED Wand-und Deckenanbauleuchte, 15W, 3000K, Sensor, Metallgrau</v>
      </c>
      <c r="C764" t="str">
        <f t="shared" si="36"/>
        <v>183</v>
      </c>
      <c r="D764" s="1">
        <v>312.5</v>
      </c>
    </row>
    <row r="765" spans="1:4" x14ac:dyDescent="0.25">
      <c r="A765" t="str">
        <f>"LUS-30NW1"</f>
        <v>LUS-30NW1</v>
      </c>
      <c r="B765" t="str">
        <f>"LUNETTE Ø365mm, LED Wand-und Deckenanbauleuchte, 30W, 4000K, Sensor, Weiß"</f>
        <v>LUNETTE Ø365mm, LED Wand-und Deckenanbauleuchte, 30W, 4000K, Sensor, Weiß</v>
      </c>
      <c r="C765" t="str">
        <f t="shared" si="36"/>
        <v>183</v>
      </c>
      <c r="D765" s="1">
        <v>399</v>
      </c>
    </row>
    <row r="766" spans="1:4" x14ac:dyDescent="0.25">
      <c r="A766" t="str">
        <f>"LUS-30NW6"</f>
        <v>LUS-30NW6</v>
      </c>
      <c r="B766" t="str">
        <f>"LUNETTE Ø365mm, LED Wand-und Deckenanbauleuchte, 30W, 4000K, Sensor, Graphitrgau"</f>
        <v>LUNETTE Ø365mm, LED Wand-und Deckenanbauleuchte, 30W, 4000K, Sensor, Graphitrgau</v>
      </c>
      <c r="C766" t="str">
        <f t="shared" si="36"/>
        <v>183</v>
      </c>
      <c r="D766" s="1">
        <v>399</v>
      </c>
    </row>
    <row r="767" spans="1:4" x14ac:dyDescent="0.25">
      <c r="A767" t="str">
        <f>"LUS-30NW7"</f>
        <v>LUS-30NW7</v>
      </c>
      <c r="B767" t="str">
        <f>"LUNETTE Ø365mm, LED Wand-und Deckenanbauleuchte, 30W, 4000K, Sensor, Metallgrau"</f>
        <v>LUNETTE Ø365mm, LED Wand-und Deckenanbauleuchte, 30W, 4000K, Sensor, Metallgrau</v>
      </c>
      <c r="C767" t="str">
        <f t="shared" si="36"/>
        <v>183</v>
      </c>
      <c r="D767" s="1">
        <v>399</v>
      </c>
    </row>
    <row r="768" spans="1:4" x14ac:dyDescent="0.25">
      <c r="A768" t="str">
        <f>"LUS-30WW1"</f>
        <v>LUS-30WW1</v>
      </c>
      <c r="B768" t="str">
        <f>"LUNETTE Ø365mm, LED Wand-und Deckenanbauleuchte, 30W, 3000K, Sensor, Weiß"</f>
        <v>LUNETTE Ø365mm, LED Wand-und Deckenanbauleuchte, 30W, 3000K, Sensor, Weiß</v>
      </c>
      <c r="C768" t="str">
        <f t="shared" si="36"/>
        <v>183</v>
      </c>
      <c r="D768" s="1">
        <v>399</v>
      </c>
    </row>
    <row r="769" spans="1:4" x14ac:dyDescent="0.25">
      <c r="A769" t="str">
        <f>"LUS-30WW6"</f>
        <v>LUS-30WW6</v>
      </c>
      <c r="B769" t="str">
        <f>"LUNETTE Ø365mm, LED Wand-und Deckenanbauleuchte, 30W, 3000K, Sensor, Graphitgrau"</f>
        <v>LUNETTE Ø365mm, LED Wand-und Deckenanbauleuchte, 30W, 3000K, Sensor, Graphitgrau</v>
      </c>
      <c r="C769" t="str">
        <f t="shared" si="36"/>
        <v>183</v>
      </c>
      <c r="D769" s="1">
        <v>399</v>
      </c>
    </row>
    <row r="770" spans="1:4" x14ac:dyDescent="0.25">
      <c r="A770" t="str">
        <f>"LUS-30WW7"</f>
        <v>LUS-30WW7</v>
      </c>
      <c r="B770" t="str">
        <f>"LUNETTE Ø365mm, LED Wand-und Deckenanbauleuchte, 30W, 3000K, Sensor, Metallgrau"</f>
        <v>LUNETTE Ø365mm, LED Wand-und Deckenanbauleuchte, 30W, 3000K, Sensor, Metallgrau</v>
      </c>
      <c r="C770" t="str">
        <f t="shared" si="36"/>
        <v>183</v>
      </c>
      <c r="D770" s="1">
        <v>399</v>
      </c>
    </row>
    <row r="771" spans="1:4" x14ac:dyDescent="0.25">
      <c r="A771" t="str">
        <f>"LUXUF-8NW7"</f>
        <v>LUXUF-8NW7</v>
      </c>
      <c r="B771" t="str">
        <f>"1479GM4K LUX INSIDE UltraFlat Deckenaußenleuchte LED 8W, 4000K, Alu, metallgrau"</f>
        <v>1479GM4K LUX INSIDE UltraFlat Deckenaußenleuchte LED 8W, 4000K, Alu, metallgrau</v>
      </c>
      <c r="C771" t="str">
        <f t="shared" si="36"/>
        <v>183</v>
      </c>
      <c r="D771" s="1">
        <v>227</v>
      </c>
    </row>
    <row r="772" spans="1:4" x14ac:dyDescent="0.25">
      <c r="A772" t="str">
        <f>"LUXUF-8WW7"</f>
        <v>LUXUF-8WW7</v>
      </c>
      <c r="B772" t="str">
        <f>"1479GM3K LUX INSIDE UltraFlat Deckenaußenleuchte LED 8W, 3000K, Alu, metallgrau"</f>
        <v>1479GM3K LUX INSIDE UltraFlat Deckenaußenleuchte LED 8W, 3000K, Alu, metallgrau</v>
      </c>
      <c r="C772" t="str">
        <f t="shared" si="36"/>
        <v>183</v>
      </c>
      <c r="D772" s="1">
        <v>227</v>
      </c>
    </row>
    <row r="773" spans="1:4" x14ac:dyDescent="0.25">
      <c r="A773" t="str">
        <f>"LUX30-10NW1"</f>
        <v>LUX30-10NW1</v>
      </c>
      <c r="B773" t="str">
        <f>"1221BI4K LUX SHOWER Deckenaußenleuchte LED 10W, 4000K, 40°, Alu, weiß"</f>
        <v>1221BI4K LUX SHOWER Deckenaußenleuchte LED 10W, 4000K, 40°, Alu, weiß</v>
      </c>
      <c r="C773" t="str">
        <f t="shared" ref="C773:C796" si="37">"201"</f>
        <v>201</v>
      </c>
      <c r="D773" s="1">
        <v>138</v>
      </c>
    </row>
    <row r="774" spans="1:4" x14ac:dyDescent="0.25">
      <c r="A774" t="str">
        <f>"LUX30-10NW1B"</f>
        <v>LUX30-10NW1B</v>
      </c>
      <c r="B774" t="str">
        <f>"1221BI4K90 LUX SHOWER Deckenaußenleuchte LED 10W, 4000K, 90°, Alu, weiß"</f>
        <v>1221BI4K90 LUX SHOWER Deckenaußenleuchte LED 10W, 4000K, 90°, Alu, weiß</v>
      </c>
      <c r="C774" t="str">
        <f t="shared" si="37"/>
        <v>201</v>
      </c>
      <c r="D774" s="1">
        <v>138</v>
      </c>
    </row>
    <row r="775" spans="1:4" x14ac:dyDescent="0.25">
      <c r="A775" t="str">
        <f>"LUX30-10NW1E"</f>
        <v>LUX30-10NW1E</v>
      </c>
      <c r="B775" t="str">
        <f>"1221BI4K12 LUX SHOWER Deckenaußenleuchte LED 10W, 4000K, 12°, Alu, weiß"</f>
        <v>1221BI4K12 LUX SHOWER Deckenaußenleuchte LED 10W, 4000K, 12°, Alu, weiß</v>
      </c>
      <c r="C775" t="str">
        <f t="shared" si="37"/>
        <v>201</v>
      </c>
      <c r="D775" s="1">
        <v>138</v>
      </c>
    </row>
    <row r="776" spans="1:4" x14ac:dyDescent="0.25">
      <c r="A776" t="str">
        <f>"LUX30-10NW1F"</f>
        <v>LUX30-10NW1F</v>
      </c>
      <c r="B776" t="str">
        <f>"1222BI4K LUX SHOWER Deckenaußenleuchte LED 10W, 4000K, 120°, Alu, weiß"</f>
        <v>1222BI4K LUX SHOWER Deckenaußenleuchte LED 10W, 4000K, 120°, Alu, weiß</v>
      </c>
      <c r="C776" t="str">
        <f t="shared" si="37"/>
        <v>201</v>
      </c>
      <c r="D776" s="1">
        <v>144</v>
      </c>
    </row>
    <row r="777" spans="1:4" x14ac:dyDescent="0.25">
      <c r="A777" t="str">
        <f>"LUX30-10NW6"</f>
        <v>LUX30-10NW6</v>
      </c>
      <c r="B777" t="str">
        <f>"1221GR4K LUX 30 SHOWER Deckenaußenleuchte LED 10W, 4000K, 40°, Alu, graphitgrau"</f>
        <v>1221GR4K LUX 30 SHOWER Deckenaußenleuchte LED 10W, 4000K, 40°, Alu, graphitgrau</v>
      </c>
      <c r="C777" t="str">
        <f t="shared" si="37"/>
        <v>201</v>
      </c>
      <c r="D777" s="1">
        <v>138</v>
      </c>
    </row>
    <row r="778" spans="1:4" x14ac:dyDescent="0.25">
      <c r="A778" t="str">
        <f>"LUX30-10NW6B"</f>
        <v>LUX30-10NW6B</v>
      </c>
      <c r="B778" t="str">
        <f>"1221GR4K90 LUX 30 SHOWER Deckenaußenleuchte LED10W, 4000K, 90°, Alu, graphitgrau"</f>
        <v>1221GR4K90 LUX 30 SHOWER Deckenaußenleuchte LED10W, 4000K, 90°, Alu, graphitgrau</v>
      </c>
      <c r="C778" t="str">
        <f t="shared" si="37"/>
        <v>201</v>
      </c>
      <c r="D778" s="1">
        <v>138</v>
      </c>
    </row>
    <row r="779" spans="1:4" x14ac:dyDescent="0.25">
      <c r="A779" t="str">
        <f>"LUX30-10NW6E"</f>
        <v>LUX30-10NW6E</v>
      </c>
      <c r="B779" t="str">
        <f>"1221GR4K12 LUX30 SHOWER Deckenaußenleuchte LED 10W, 4000K, 12°, Alu, graphitgrau"</f>
        <v>1221GR4K12 LUX30 SHOWER Deckenaußenleuchte LED 10W, 4000K, 12°, Alu, graphitgrau</v>
      </c>
      <c r="C779" t="str">
        <f t="shared" si="37"/>
        <v>201</v>
      </c>
      <c r="D779" s="1">
        <v>138</v>
      </c>
    </row>
    <row r="780" spans="1:4" x14ac:dyDescent="0.25">
      <c r="A780" t="str">
        <f>"LUX30-10NW6F"</f>
        <v>LUX30-10NW6F</v>
      </c>
      <c r="B780" t="str">
        <f>"1222GR4K LUX 30 SHOWER Deckenaußenl LED 10W, 4000K, 120°, Alu, graphitgrau"</f>
        <v>1222GR4K LUX 30 SHOWER Deckenaußenl LED 10W, 4000K, 120°, Alu, graphitgrau</v>
      </c>
      <c r="C780" t="str">
        <f t="shared" si="37"/>
        <v>201</v>
      </c>
      <c r="D780" s="1">
        <v>144</v>
      </c>
    </row>
    <row r="781" spans="1:4" x14ac:dyDescent="0.25">
      <c r="A781" t="str">
        <f>"LUX30-10NW7"</f>
        <v>LUX30-10NW7</v>
      </c>
      <c r="B781" t="str">
        <f>"1221GM4K LUX SHOWER Deckenaußenleuchte LED 10W, 4000K, 40°, Alu, metallgrau"</f>
        <v>1221GM4K LUX SHOWER Deckenaußenleuchte LED 10W, 4000K, 40°, Alu, metallgrau</v>
      </c>
      <c r="C781" t="str">
        <f t="shared" si="37"/>
        <v>201</v>
      </c>
      <c r="D781" s="1">
        <v>138</v>
      </c>
    </row>
    <row r="782" spans="1:4" x14ac:dyDescent="0.25">
      <c r="A782" t="str">
        <f>"LUX30-10NW7B"</f>
        <v>LUX30-10NW7B</v>
      </c>
      <c r="B782" t="str">
        <f>"1221GM4K90 LUX SHOWER Deckenaußenleuchte LED10W, 4000K, 90°, Alu, metallgrau"</f>
        <v>1221GM4K90 LUX SHOWER Deckenaußenleuchte LED10W, 4000K, 90°, Alu, metallgrau</v>
      </c>
      <c r="C782" t="str">
        <f t="shared" si="37"/>
        <v>201</v>
      </c>
      <c r="D782" s="1">
        <v>138</v>
      </c>
    </row>
    <row r="783" spans="1:4" x14ac:dyDescent="0.25">
      <c r="A783" t="str">
        <f>"LUX30-10NW7E"</f>
        <v>LUX30-10NW7E</v>
      </c>
      <c r="B783" t="str">
        <f>"1221GM4K12 LUX SHOWER Deckenaußenleuchte LED 10W, 4000K, 12°, Alu, metallgrau"</f>
        <v>1221GM4K12 LUX SHOWER Deckenaußenleuchte LED 10W, 4000K, 12°, Alu, metallgrau</v>
      </c>
      <c r="C783" t="str">
        <f t="shared" si="37"/>
        <v>201</v>
      </c>
      <c r="D783" s="1">
        <v>138</v>
      </c>
    </row>
    <row r="784" spans="1:4" x14ac:dyDescent="0.25">
      <c r="A784" t="str">
        <f>"LUX30-10NW7F"</f>
        <v>LUX30-10NW7F</v>
      </c>
      <c r="B784" t="str">
        <f>"1222GM4K LUX SHOWER Deckenaußenl. LED 10W, 4000K, 120°, Alu, metallgrau"</f>
        <v>1222GM4K LUX SHOWER Deckenaußenl. LED 10W, 4000K, 120°, Alu, metallgrau</v>
      </c>
      <c r="C784" t="str">
        <f t="shared" si="37"/>
        <v>201</v>
      </c>
      <c r="D784" s="1">
        <v>144</v>
      </c>
    </row>
    <row r="785" spans="1:4" x14ac:dyDescent="0.25">
      <c r="A785" t="str">
        <f>"LUX30-10WW1"</f>
        <v>LUX30-10WW1</v>
      </c>
      <c r="B785" t="str">
        <f>"1221BI3K LUX SHOWER Deckenaußenleuchte LED 10W, 3000K, 40°, Alu, weiß"</f>
        <v>1221BI3K LUX SHOWER Deckenaußenleuchte LED 10W, 3000K, 40°, Alu, weiß</v>
      </c>
      <c r="C785" t="str">
        <f t="shared" si="37"/>
        <v>201</v>
      </c>
      <c r="D785" s="1">
        <v>138</v>
      </c>
    </row>
    <row r="786" spans="1:4" x14ac:dyDescent="0.25">
      <c r="A786" t="str">
        <f>"LUX30-10WW1B"</f>
        <v>LUX30-10WW1B</v>
      </c>
      <c r="B786" t="str">
        <f>"1221BI3K90 LUX SHOWER Deckenaußenleuchte LED 10W, 3000K, 90°, Alu, weiß"</f>
        <v>1221BI3K90 LUX SHOWER Deckenaußenleuchte LED 10W, 3000K, 90°, Alu, weiß</v>
      </c>
      <c r="C786" t="str">
        <f t="shared" si="37"/>
        <v>201</v>
      </c>
      <c r="D786" s="1">
        <v>138</v>
      </c>
    </row>
    <row r="787" spans="1:4" x14ac:dyDescent="0.25">
      <c r="A787" t="str">
        <f>"LUX30-10WW1E"</f>
        <v>LUX30-10WW1E</v>
      </c>
      <c r="B787" t="str">
        <f>"1221BI3K12 LUX SHOWER Deckenaußenleuchte LED 10W, 3000K, 12°, Alu, weiß"</f>
        <v>1221BI3K12 LUX SHOWER Deckenaußenleuchte LED 10W, 3000K, 12°, Alu, weiß</v>
      </c>
      <c r="C787" t="str">
        <f t="shared" si="37"/>
        <v>201</v>
      </c>
      <c r="D787" s="1">
        <v>138</v>
      </c>
    </row>
    <row r="788" spans="1:4" x14ac:dyDescent="0.25">
      <c r="A788" t="str">
        <f>"LUX30-10WW1F"</f>
        <v>LUX30-10WW1F</v>
      </c>
      <c r="B788" t="str">
        <f>"1222BI3K LUX SHOWER Deckenaußenleuchte LED 10W, 3000K, 120°, Alu, weiß"</f>
        <v>1222BI3K LUX SHOWER Deckenaußenleuchte LED 10W, 3000K, 120°, Alu, weiß</v>
      </c>
      <c r="C788" t="str">
        <f t="shared" si="37"/>
        <v>201</v>
      </c>
      <c r="D788" s="1">
        <v>144</v>
      </c>
    </row>
    <row r="789" spans="1:4" x14ac:dyDescent="0.25">
      <c r="A789" t="str">
        <f>"LUX30-10WW6"</f>
        <v>LUX30-10WW6</v>
      </c>
      <c r="B789" t="str">
        <f>"1221GR3K LUX 30 SHOWER Deckenaußenleuchte LED 10W, 3000K, 40°, Alu, graphitgrau"</f>
        <v>1221GR3K LUX 30 SHOWER Deckenaußenleuchte LED 10W, 3000K, 40°, Alu, graphitgrau</v>
      </c>
      <c r="C789" t="str">
        <f t="shared" si="37"/>
        <v>201</v>
      </c>
      <c r="D789" s="1">
        <v>138</v>
      </c>
    </row>
    <row r="790" spans="1:4" x14ac:dyDescent="0.25">
      <c r="A790" t="str">
        <f>"LUX30-10WW6B"</f>
        <v>LUX30-10WW6B</v>
      </c>
      <c r="B790" t="str">
        <f>"1221GR3K90 LUX 30 SHOWER Deckenaußenleuchte LED10W, 3000K, 90°, Alu, graphitgrau"</f>
        <v>1221GR3K90 LUX 30 SHOWER Deckenaußenleuchte LED10W, 3000K, 90°, Alu, graphitgrau</v>
      </c>
      <c r="C790" t="str">
        <f t="shared" si="37"/>
        <v>201</v>
      </c>
      <c r="D790" s="1">
        <v>138</v>
      </c>
    </row>
    <row r="791" spans="1:4" x14ac:dyDescent="0.25">
      <c r="A791" t="str">
        <f>"LUX30-10WW6E"</f>
        <v>LUX30-10WW6E</v>
      </c>
      <c r="B791" t="str">
        <f>"1221GR3K12 LUX30 SHOWER Deckenaußenleuchte LED 10W, 3000K, 12°, Alu, graphitgrau"</f>
        <v>1221GR3K12 LUX30 SHOWER Deckenaußenleuchte LED 10W, 3000K, 12°, Alu, graphitgrau</v>
      </c>
      <c r="C791" t="str">
        <f t="shared" si="37"/>
        <v>201</v>
      </c>
      <c r="D791" s="1">
        <v>138</v>
      </c>
    </row>
    <row r="792" spans="1:4" x14ac:dyDescent="0.25">
      <c r="A792" t="str">
        <f>"LUX30-10WW6F"</f>
        <v>LUX30-10WW6F</v>
      </c>
      <c r="B792" t="str">
        <f>"1222GR3K LUX 30 SHOWER Deckenaußenl LED 10W, 3000K, 120°, Alu, graphitgrau"</f>
        <v>1222GR3K LUX 30 SHOWER Deckenaußenl LED 10W, 3000K, 120°, Alu, graphitgrau</v>
      </c>
      <c r="C792" t="str">
        <f t="shared" si="37"/>
        <v>201</v>
      </c>
      <c r="D792" s="1">
        <v>144</v>
      </c>
    </row>
    <row r="793" spans="1:4" x14ac:dyDescent="0.25">
      <c r="A793" t="str">
        <f>"LUX30-10WW7"</f>
        <v>LUX30-10WW7</v>
      </c>
      <c r="B793" t="str">
        <f>"1221GM3K LUX SHOWER Deckenaußenleuchte LED 10W, 3000K, 40°, Alu, metallgrau"</f>
        <v>1221GM3K LUX SHOWER Deckenaußenleuchte LED 10W, 3000K, 40°, Alu, metallgrau</v>
      </c>
      <c r="C793" t="str">
        <f t="shared" si="37"/>
        <v>201</v>
      </c>
      <c r="D793" s="1">
        <v>138</v>
      </c>
    </row>
    <row r="794" spans="1:4" x14ac:dyDescent="0.25">
      <c r="A794" t="str">
        <f>"LUX30-10WW7B"</f>
        <v>LUX30-10WW7B</v>
      </c>
      <c r="B794" t="str">
        <f>"1221GM3K90 LUX SHOWER Deckenaußenleuchte LED10W, 3000K, 90°, Alu, metallgrau"</f>
        <v>1221GM3K90 LUX SHOWER Deckenaußenleuchte LED10W, 3000K, 90°, Alu, metallgrau</v>
      </c>
      <c r="C794" t="str">
        <f t="shared" si="37"/>
        <v>201</v>
      </c>
      <c r="D794" s="1">
        <v>138</v>
      </c>
    </row>
    <row r="795" spans="1:4" x14ac:dyDescent="0.25">
      <c r="A795" t="str">
        <f>"LUX30-10WW7E"</f>
        <v>LUX30-10WW7E</v>
      </c>
      <c r="B795" t="str">
        <f>"1221GM3K12 LUX SHOWER Deckenaußenleuchte LED 10W, 3000K, 12°, Alu, metallgrau"</f>
        <v>1221GM3K12 LUX SHOWER Deckenaußenleuchte LED 10W, 3000K, 12°, Alu, metallgrau</v>
      </c>
      <c r="C795" t="str">
        <f t="shared" si="37"/>
        <v>201</v>
      </c>
      <c r="D795" s="1">
        <v>138</v>
      </c>
    </row>
    <row r="796" spans="1:4" x14ac:dyDescent="0.25">
      <c r="A796" t="str">
        <f>"LUX30-10WW7F"</f>
        <v>LUX30-10WW7F</v>
      </c>
      <c r="B796" t="str">
        <f>"1222GM3K LUX SHOWER Deckenaußenl. LED 10W, 3000K, 120°, Alu, metallgrau"</f>
        <v>1222GM3K LUX SHOWER Deckenaußenl. LED 10W, 3000K, 120°, Alu, metallgrau</v>
      </c>
      <c r="C796" t="str">
        <f t="shared" si="37"/>
        <v>201</v>
      </c>
      <c r="D796" s="1">
        <v>144</v>
      </c>
    </row>
    <row r="797" spans="1:4" x14ac:dyDescent="0.25">
      <c r="A797" t="str">
        <f>"LU-15NW1"</f>
        <v>LU-15NW1</v>
      </c>
      <c r="B797" t="str">
        <f>"LUNETTE Ø235mm, LED Wand-und Deckenanbauleuchte, 15W, 4000K, Weiß"</f>
        <v>LUNETTE Ø235mm, LED Wand-und Deckenanbauleuchte, 15W, 4000K, Weiß</v>
      </c>
      <c r="C797" t="str">
        <f t="shared" ref="C797:C808" si="38">"183"</f>
        <v>183</v>
      </c>
      <c r="D797" s="1">
        <v>207.5</v>
      </c>
    </row>
    <row r="798" spans="1:4" x14ac:dyDescent="0.25">
      <c r="A798" t="str">
        <f>"LU-15NW6"</f>
        <v>LU-15NW6</v>
      </c>
      <c r="B798" t="str">
        <f>"LUNETTE Ø235mm, LED Wand-und Deckenanbauleuchte, 15W, 4000K, Graphitrgau"</f>
        <v>LUNETTE Ø235mm, LED Wand-und Deckenanbauleuchte, 15W, 4000K, Graphitrgau</v>
      </c>
      <c r="C798" t="str">
        <f t="shared" si="38"/>
        <v>183</v>
      </c>
      <c r="D798" s="1">
        <v>207.5</v>
      </c>
    </row>
    <row r="799" spans="1:4" x14ac:dyDescent="0.25">
      <c r="A799" t="str">
        <f>"LU-15NW7"</f>
        <v>LU-15NW7</v>
      </c>
      <c r="B799" t="str">
        <f>"LUNETTE Ø235mm, LED Wand-und Deckenanbauleuchte, 15W, 4000K, Metallgrau"</f>
        <v>LUNETTE Ø235mm, LED Wand-und Deckenanbauleuchte, 15W, 4000K, Metallgrau</v>
      </c>
      <c r="C799" t="str">
        <f t="shared" si="38"/>
        <v>183</v>
      </c>
      <c r="D799" s="1">
        <v>207.5</v>
      </c>
    </row>
    <row r="800" spans="1:4" x14ac:dyDescent="0.25">
      <c r="A800" t="str">
        <f>"LU-15WW1"</f>
        <v>LU-15WW1</v>
      </c>
      <c r="B800" t="str">
        <f>"LUNETTE Ø235mm, LED Wand-und Deckenanbauleuchte, 15W, 3000K, Weiß"</f>
        <v>LUNETTE Ø235mm, LED Wand-und Deckenanbauleuchte, 15W, 3000K, Weiß</v>
      </c>
      <c r="C800" t="str">
        <f t="shared" si="38"/>
        <v>183</v>
      </c>
      <c r="D800" s="1">
        <v>207.5</v>
      </c>
    </row>
    <row r="801" spans="1:4" x14ac:dyDescent="0.25">
      <c r="A801" t="str">
        <f>"LU-15WW6"</f>
        <v>LU-15WW6</v>
      </c>
      <c r="B801" t="str">
        <f>"LUNETTE Ø235mm, LED Wand-und Deckenanbauleuchte, 15W, 3000K, Graphitgrau"</f>
        <v>LUNETTE Ø235mm, LED Wand-und Deckenanbauleuchte, 15W, 3000K, Graphitgrau</v>
      </c>
      <c r="C801" t="str">
        <f t="shared" si="38"/>
        <v>183</v>
      </c>
      <c r="D801" s="1">
        <v>207.5</v>
      </c>
    </row>
    <row r="802" spans="1:4" x14ac:dyDescent="0.25">
      <c r="A802" t="str">
        <f>"LU-15WW7"</f>
        <v>LU-15WW7</v>
      </c>
      <c r="B802" t="str">
        <f>"LUNETTE Ø235mm, LED Wand-und Deckenanbauleuchte, 15W, 3000K, Metallgrau"</f>
        <v>LUNETTE Ø235mm, LED Wand-und Deckenanbauleuchte, 15W, 3000K, Metallgrau</v>
      </c>
      <c r="C802" t="str">
        <f t="shared" si="38"/>
        <v>183</v>
      </c>
      <c r="D802" s="1">
        <v>207.5</v>
      </c>
    </row>
    <row r="803" spans="1:4" x14ac:dyDescent="0.25">
      <c r="A803" t="str">
        <f>"LU-30NW1"</f>
        <v>LU-30NW1</v>
      </c>
      <c r="B803" t="str">
        <f>"LUNETTE Ø365mm, LED Wand-und Deckenanbauleuchte, 30W, 4000K, Weiß"</f>
        <v>LUNETTE Ø365mm, LED Wand-und Deckenanbauleuchte, 30W, 4000K, Weiß</v>
      </c>
      <c r="C803" t="str">
        <f t="shared" si="38"/>
        <v>183</v>
      </c>
      <c r="D803" s="1">
        <v>300</v>
      </c>
    </row>
    <row r="804" spans="1:4" x14ac:dyDescent="0.25">
      <c r="A804" t="str">
        <f>"LU-30NW6"</f>
        <v>LU-30NW6</v>
      </c>
      <c r="B804" t="str">
        <f>"LUNETTE Ø365mm, LED Wand-und Deckenanbauleuchte, 30W, 4000K, Graphitrgau"</f>
        <v>LUNETTE Ø365mm, LED Wand-und Deckenanbauleuchte, 30W, 4000K, Graphitrgau</v>
      </c>
      <c r="C804" t="str">
        <f t="shared" si="38"/>
        <v>183</v>
      </c>
      <c r="D804" s="1">
        <v>300</v>
      </c>
    </row>
    <row r="805" spans="1:4" x14ac:dyDescent="0.25">
      <c r="A805" t="str">
        <f>"LU-30NW7"</f>
        <v>LU-30NW7</v>
      </c>
      <c r="B805" t="str">
        <f>"LUNETTE Ø365mm, LED Wand-und Deckenanbauleuchte, 30W, 4000K, Metallgrau"</f>
        <v>LUNETTE Ø365mm, LED Wand-und Deckenanbauleuchte, 30W, 4000K, Metallgrau</v>
      </c>
      <c r="C805" t="str">
        <f t="shared" si="38"/>
        <v>183</v>
      </c>
      <c r="D805" s="1">
        <v>300</v>
      </c>
    </row>
    <row r="806" spans="1:4" x14ac:dyDescent="0.25">
      <c r="A806" t="str">
        <f>"LU-30WW1"</f>
        <v>LU-30WW1</v>
      </c>
      <c r="B806" t="str">
        <f>"LUNETTE Ø365mm, LED Wand-und Deckenanbauleuchte, 30W, 3000K, Weiß"</f>
        <v>LUNETTE Ø365mm, LED Wand-und Deckenanbauleuchte, 30W, 3000K, Weiß</v>
      </c>
      <c r="C806" t="str">
        <f t="shared" si="38"/>
        <v>183</v>
      </c>
      <c r="D806" s="1">
        <v>300</v>
      </c>
    </row>
    <row r="807" spans="1:4" x14ac:dyDescent="0.25">
      <c r="A807" t="str">
        <f>"LU-30WW6"</f>
        <v>LU-30WW6</v>
      </c>
      <c r="B807" t="str">
        <f>"LUNETTE Ø365mm, LED Wand-und Deckenanbauleuchte, 30W, 3000K, Graphitgrau"</f>
        <v>LUNETTE Ø365mm, LED Wand-und Deckenanbauleuchte, 30W, 3000K, Graphitgrau</v>
      </c>
      <c r="C807" t="str">
        <f t="shared" si="38"/>
        <v>183</v>
      </c>
      <c r="D807" s="1">
        <v>300</v>
      </c>
    </row>
    <row r="808" spans="1:4" x14ac:dyDescent="0.25">
      <c r="A808" t="str">
        <f>"LU-30WW7"</f>
        <v>LU-30WW7</v>
      </c>
      <c r="B808" t="str">
        <f>"LUNETTE Ø365mm, LED Wand-und Deckenanbauleuchte, 30W, 3000K, Metallgrau"</f>
        <v>LUNETTE Ø365mm, LED Wand-und Deckenanbauleuchte, 30W, 3000K, Metallgrau</v>
      </c>
      <c r="C808" t="str">
        <f t="shared" si="38"/>
        <v>183</v>
      </c>
      <c r="D808" s="1">
        <v>300</v>
      </c>
    </row>
    <row r="809" spans="1:4" x14ac:dyDescent="0.25">
      <c r="A809" t="str">
        <f>"MATMA-14WW6"</f>
        <v>MATMA-14WW6</v>
      </c>
      <c r="B809" t="str">
        <f>"MATITA Pollerleuchte LED 14,5W, 3000K, H=900 mm, anthrazit"</f>
        <v>MATITA Pollerleuchte LED 14,5W, 3000K, H=900 mm, anthrazit</v>
      </c>
      <c r="C809" t="str">
        <f t="shared" ref="C809:C814" si="39">"225"</f>
        <v>225</v>
      </c>
      <c r="D809" s="1">
        <v>435</v>
      </c>
    </row>
    <row r="810" spans="1:4" x14ac:dyDescent="0.25">
      <c r="A810" t="str">
        <f>"MATMA-14WW7"</f>
        <v>MATMA-14WW7</v>
      </c>
      <c r="B810" t="str">
        <f>"MATITA Pollerleuchte LED 14,5W, 3000K, H=900 mm, alugrau"</f>
        <v>MATITA Pollerleuchte LED 14,5W, 3000K, H=900 mm, alugrau</v>
      </c>
      <c r="C810" t="str">
        <f t="shared" si="39"/>
        <v>225</v>
      </c>
      <c r="D810" s="1">
        <v>435</v>
      </c>
    </row>
    <row r="811" spans="1:4" x14ac:dyDescent="0.25">
      <c r="A811" t="str">
        <f>"MATMI-14WW6"</f>
        <v>MATMI-14WW6</v>
      </c>
      <c r="B811" t="str">
        <f>"MATITA Pollerleuchte LED 14,5W, 3000K, H=500 mm, anthrazit"</f>
        <v>MATITA Pollerleuchte LED 14,5W, 3000K, H=500 mm, anthrazit</v>
      </c>
      <c r="C811" t="str">
        <f t="shared" si="39"/>
        <v>225</v>
      </c>
      <c r="D811" s="1">
        <v>336.5</v>
      </c>
    </row>
    <row r="812" spans="1:4" x14ac:dyDescent="0.25">
      <c r="A812" t="str">
        <f>"MATMI-14WW7"</f>
        <v>MATMI-14WW7</v>
      </c>
      <c r="B812" t="str">
        <f>"MATITA Pollerleuchte LED 14,5W, 3000K, H=500 mm, alugrau"</f>
        <v>MATITA Pollerleuchte LED 14,5W, 3000K, H=500 mm, alugrau</v>
      </c>
      <c r="C812" t="str">
        <f t="shared" si="39"/>
        <v>225</v>
      </c>
      <c r="D812" s="1">
        <v>336.5</v>
      </c>
    </row>
    <row r="813" spans="1:4" x14ac:dyDescent="0.25">
      <c r="A813" t="str">
        <f>"MAT-14WW6"</f>
        <v>MAT-14WW6</v>
      </c>
      <c r="B813" t="str">
        <f>"MATITA Pollerleuchte LED 14,5W, 3000K, H=150 mm, anthrazit"</f>
        <v>MATITA Pollerleuchte LED 14,5W, 3000K, H=150 mm, anthrazit</v>
      </c>
      <c r="C813" t="str">
        <f t="shared" si="39"/>
        <v>225</v>
      </c>
      <c r="D813" s="1">
        <v>385</v>
      </c>
    </row>
    <row r="814" spans="1:4" x14ac:dyDescent="0.25">
      <c r="A814" t="str">
        <f>"MAT-14WW7"</f>
        <v>MAT-14WW7</v>
      </c>
      <c r="B814" t="str">
        <f>"MATITA Pollerleuchte LED 14,5W, 3000K, H=150 mm, alugrau"</f>
        <v>MATITA Pollerleuchte LED 14,5W, 3000K, H=150 mm, alugrau</v>
      </c>
      <c r="C814" t="str">
        <f t="shared" si="39"/>
        <v>225</v>
      </c>
      <c r="D814" s="1">
        <v>385</v>
      </c>
    </row>
    <row r="815" spans="1:4" x14ac:dyDescent="0.25">
      <c r="A815" t="str">
        <f>"MAXI-34NW2"</f>
        <v>MAXI-34NW2</v>
      </c>
      <c r="B815" t="str">
        <f>"5638NE4K MaxiLED 34W, 4000K, mit Treiber, Alu, schwarz"</f>
        <v>5638NE4K MaxiLED 34W, 4000K, mit Treiber, Alu, schwarz</v>
      </c>
      <c r="C815" t="str">
        <f>"199"</f>
        <v>199</v>
      </c>
      <c r="D815" s="1">
        <v>460</v>
      </c>
    </row>
    <row r="816" spans="1:4" x14ac:dyDescent="0.25">
      <c r="A816" t="str">
        <f>"MAXI-34NW7"</f>
        <v>MAXI-34NW7</v>
      </c>
      <c r="B816" t="str">
        <f>"5638SI4K MaxiLED 34W, 4000K, mit Treiber, Alu, metallgrau"</f>
        <v>5638SI4K MaxiLED 34W, 4000K, mit Treiber, Alu, metallgrau</v>
      </c>
      <c r="C816" t="str">
        <f>"199"</f>
        <v>199</v>
      </c>
      <c r="D816" s="1">
        <v>468</v>
      </c>
    </row>
    <row r="817" spans="1:4" x14ac:dyDescent="0.25">
      <c r="A817" t="str">
        <f>"MAXI-34WW2"</f>
        <v>MAXI-34WW2</v>
      </c>
      <c r="B817" t="str">
        <f>"5638NE3K MaxiLED 34W, 3000K, mit Treiber, Alu, schwarz"</f>
        <v>5638NE3K MaxiLED 34W, 3000K, mit Treiber, Alu, schwarz</v>
      </c>
      <c r="C817" t="str">
        <f>"199"</f>
        <v>199</v>
      </c>
      <c r="D817" s="1">
        <v>460</v>
      </c>
    </row>
    <row r="818" spans="1:4" x14ac:dyDescent="0.25">
      <c r="A818" t="str">
        <f>"MAXI-34WW7"</f>
        <v>MAXI-34WW7</v>
      </c>
      <c r="B818" t="str">
        <f>"5638SI3K MaxiLED 34W, 3000K, mit Treiber, Alu, metallgrau"</f>
        <v>5638SI3K MaxiLED 34W, 3000K, mit Treiber, Alu, metallgrau</v>
      </c>
      <c r="C818" t="str">
        <f>"199"</f>
        <v>199</v>
      </c>
      <c r="D818" s="1">
        <v>468</v>
      </c>
    </row>
    <row r="819" spans="1:4" x14ac:dyDescent="0.25">
      <c r="A819" t="str">
        <f>"MET-14WW08"</f>
        <v>MET-14WW08</v>
      </c>
      <c r="B819" t="str">
        <f>"METOO Wandanbauleuchte LED 14W, 3000K, beige"</f>
        <v>METOO Wandanbauleuchte LED 14W, 3000K, beige</v>
      </c>
      <c r="C819" t="str">
        <f>"233"</f>
        <v>233</v>
      </c>
      <c r="D819" s="1">
        <v>225</v>
      </c>
    </row>
    <row r="820" spans="1:4" x14ac:dyDescent="0.25">
      <c r="A820" t="str">
        <f>"MET-14WW6"</f>
        <v>MET-14WW6</v>
      </c>
      <c r="B820" t="str">
        <f>"METOO Wandanbauleuchte LED 14W, 3000K, anthrazit"</f>
        <v>METOO Wandanbauleuchte LED 14W, 3000K, anthrazit</v>
      </c>
      <c r="C820" t="str">
        <f>"233"</f>
        <v>233</v>
      </c>
      <c r="D820" s="1">
        <v>225</v>
      </c>
    </row>
    <row r="821" spans="1:4" x14ac:dyDescent="0.25">
      <c r="A821" t="str">
        <f>"MET-14WW7"</f>
        <v>MET-14WW7</v>
      </c>
      <c r="B821" t="str">
        <f>"METOO Wandanbauleuchte LED 14W, 3000K, alugrau"</f>
        <v>METOO Wandanbauleuchte LED 14W, 3000K, alugrau</v>
      </c>
      <c r="C821" t="str">
        <f>"233"</f>
        <v>233</v>
      </c>
      <c r="D821" s="1">
        <v>225</v>
      </c>
    </row>
    <row r="822" spans="1:4" x14ac:dyDescent="0.25">
      <c r="A822" t="str">
        <f>"MIDI-17NW2"</f>
        <v>MIDI-17NW2</v>
      </c>
      <c r="B822" t="str">
        <f>"5621NE4K MidiLED 17W, 4000K, inkl. Netzteil, schwarz"</f>
        <v>5621NE4K MidiLED 17W, 4000K, inkl. Netzteil, schwarz</v>
      </c>
      <c r="C822" t="str">
        <f>"199"</f>
        <v>199</v>
      </c>
      <c r="D822" s="1">
        <v>301</v>
      </c>
    </row>
    <row r="823" spans="1:4" x14ac:dyDescent="0.25">
      <c r="A823" t="str">
        <f>"MIDI-17NW7"</f>
        <v>MIDI-17NW7</v>
      </c>
      <c r="B823" t="str">
        <f>"5621SI4K MidiLED 17W, 4000K, inkl. Netzteil, metallgrau"</f>
        <v>5621SI4K MidiLED 17W, 4000K, inkl. Netzteil, metallgrau</v>
      </c>
      <c r="C823" t="str">
        <f>"199"</f>
        <v>199</v>
      </c>
      <c r="D823" s="1">
        <v>307</v>
      </c>
    </row>
    <row r="824" spans="1:4" x14ac:dyDescent="0.25">
      <c r="A824" t="str">
        <f>"MIDI-17WW2"</f>
        <v>MIDI-17WW2</v>
      </c>
      <c r="B824" t="str">
        <f>"5621NE3K MidiLED 17W, 3000K, inkl. Netzteil, schwarz"</f>
        <v>5621NE3K MidiLED 17W, 3000K, inkl. Netzteil, schwarz</v>
      </c>
      <c r="C824" t="str">
        <f>"199"</f>
        <v>199</v>
      </c>
      <c r="D824" s="1">
        <v>301</v>
      </c>
    </row>
    <row r="825" spans="1:4" x14ac:dyDescent="0.25">
      <c r="A825" t="str">
        <f>"MIDI-17WW7"</f>
        <v>MIDI-17WW7</v>
      </c>
      <c r="B825" t="str">
        <f>"5621SI3K MidiLED 17W, 3000K, inkl. Netzteil, metallgrau"</f>
        <v>5621SI3K MidiLED 17W, 3000K, inkl. Netzteil, metallgrau</v>
      </c>
      <c r="C825" t="str">
        <f>"199"</f>
        <v>199</v>
      </c>
      <c r="D825" s="1">
        <v>307</v>
      </c>
    </row>
    <row r="826" spans="1:4" x14ac:dyDescent="0.25">
      <c r="A826" t="str">
        <f>"MIO-20NW11F"</f>
        <v>MIO-20NW11F</v>
      </c>
      <c r="B826" t="str">
        <f>"MIO, Schienenstrahler, CoB LED, 25W, 36°, 4000K, Gehäuse weiß           "</f>
        <v xml:space="preserve">MIO, Schienenstrahler, CoB LED, 25W, 36°, 4000K, Gehäuse weiß           </v>
      </c>
      <c r="C826" t="str">
        <f t="shared" ref="C826:C873" si="40">"13"</f>
        <v>13</v>
      </c>
      <c r="D826" s="1">
        <v>105</v>
      </c>
    </row>
    <row r="827" spans="1:4" x14ac:dyDescent="0.25">
      <c r="A827" t="str">
        <f>"MIO-20NW11S"</f>
        <v>MIO-20NW11S</v>
      </c>
      <c r="B827" t="str">
        <f>"MIO, Schienenstrahler, CoB LED, 25W, 15°, 4000K, Gehäuse weiß           "</f>
        <v xml:space="preserve">MIO, Schienenstrahler, CoB LED, 25W, 15°, 4000K, Gehäuse weiß           </v>
      </c>
      <c r="C827" t="str">
        <f t="shared" si="40"/>
        <v>13</v>
      </c>
      <c r="D827" s="1">
        <v>105</v>
      </c>
    </row>
    <row r="828" spans="1:4" x14ac:dyDescent="0.25">
      <c r="A828" t="str">
        <f>"MIO-20NW11-60"</f>
        <v>MIO-20NW11-60</v>
      </c>
      <c r="B828" t="str">
        <f>"MIO, Schienenstrahler, CoB LED, 25W, 60°, 4000K, Gehäuse weiß          "</f>
        <v xml:space="preserve">MIO, Schienenstrahler, CoB LED, 25W, 60°, 4000K, Gehäuse weiß          </v>
      </c>
      <c r="C828" t="str">
        <f t="shared" si="40"/>
        <v>13</v>
      </c>
      <c r="D828" s="1">
        <v>105</v>
      </c>
    </row>
    <row r="829" spans="1:4" x14ac:dyDescent="0.25">
      <c r="A829" t="str">
        <f>"MIO-20NW12F"</f>
        <v>MIO-20NW12F</v>
      </c>
      <c r="B829" t="str">
        <f>"MIO, Schienenstrahler, CoB LED, 25W, 36°, 4000K, Gehäuse schwarz"</f>
        <v>MIO, Schienenstrahler, CoB LED, 25W, 36°, 4000K, Gehäuse schwarz</v>
      </c>
      <c r="C829" t="str">
        <f t="shared" si="40"/>
        <v>13</v>
      </c>
      <c r="D829" s="1">
        <v>105</v>
      </c>
    </row>
    <row r="830" spans="1:4" x14ac:dyDescent="0.25">
      <c r="A830" t="str">
        <f>"MIO-20NW12S"</f>
        <v>MIO-20NW12S</v>
      </c>
      <c r="B830" t="str">
        <f>"MIO, Schienenstrahler, CoB LED, 25W, 15°, 4000K, Gehäuse schwarz"</f>
        <v>MIO, Schienenstrahler, CoB LED, 25W, 15°, 4000K, Gehäuse schwarz</v>
      </c>
      <c r="C830" t="str">
        <f t="shared" si="40"/>
        <v>13</v>
      </c>
      <c r="D830" s="1">
        <v>105</v>
      </c>
    </row>
    <row r="831" spans="1:4" x14ac:dyDescent="0.25">
      <c r="A831" t="str">
        <f>"MIO-20NW12-60"</f>
        <v>MIO-20NW12-60</v>
      </c>
      <c r="B831" t="str">
        <f>"MIO, Schienenstrahler, CoB LED, 25W, 60°, 4000K, Gehäuse schwarz "</f>
        <v xml:space="preserve">MIO, Schienenstrahler, CoB LED, 25W, 60°, 4000K, Gehäuse schwarz </v>
      </c>
      <c r="C831" t="str">
        <f t="shared" si="40"/>
        <v>13</v>
      </c>
      <c r="D831" s="1">
        <v>105</v>
      </c>
    </row>
    <row r="832" spans="1:4" x14ac:dyDescent="0.25">
      <c r="A832" t="str">
        <f>"MIO-20SW11F"</f>
        <v>MIO-20SW11F</v>
      </c>
      <c r="B832" t="str">
        <f>"MIO, Schienenstrahler, CoB LED, 25W, 36°, 2700K, Gehäuse weiß         "</f>
        <v xml:space="preserve">MIO, Schienenstrahler, CoB LED, 25W, 36°, 2700K, Gehäuse weiß         </v>
      </c>
      <c r="C832" t="str">
        <f t="shared" si="40"/>
        <v>13</v>
      </c>
      <c r="D832" s="1">
        <v>105</v>
      </c>
    </row>
    <row r="833" spans="1:4" x14ac:dyDescent="0.25">
      <c r="A833" t="str">
        <f>"MIO-20SW11S"</f>
        <v>MIO-20SW11S</v>
      </c>
      <c r="B833" t="str">
        <f>"MIO, Schienenstrahler, CoB LED, 25W, 15°, 2700K, Gehäuse weiß      "</f>
        <v xml:space="preserve">MIO, Schienenstrahler, CoB LED, 25W, 15°, 2700K, Gehäuse weiß      </v>
      </c>
      <c r="C833" t="str">
        <f t="shared" si="40"/>
        <v>13</v>
      </c>
      <c r="D833" s="1">
        <v>105</v>
      </c>
    </row>
    <row r="834" spans="1:4" x14ac:dyDescent="0.25">
      <c r="A834" t="str">
        <f>"MIO-20SW11-60"</f>
        <v>MIO-20SW11-60</v>
      </c>
      <c r="B834" t="str">
        <f>"MIO, Schienenstrahler, CoB LED, 25W, 60°, 2700K, Gehäuse weiß           "</f>
        <v xml:space="preserve">MIO, Schienenstrahler, CoB LED, 25W, 60°, 2700K, Gehäuse weiß           </v>
      </c>
      <c r="C834" t="str">
        <f t="shared" si="40"/>
        <v>13</v>
      </c>
      <c r="D834" s="1">
        <v>105</v>
      </c>
    </row>
    <row r="835" spans="1:4" x14ac:dyDescent="0.25">
      <c r="A835" t="str">
        <f>"MIO-20SW12F"</f>
        <v>MIO-20SW12F</v>
      </c>
      <c r="B835" t="str">
        <f>"MIO, Schienenstrahler, CoB LED, 25W, 36°, 2700K, Gehäuse schwarz         "</f>
        <v xml:space="preserve">MIO, Schienenstrahler, CoB LED, 25W, 36°, 2700K, Gehäuse schwarz         </v>
      </c>
      <c r="C835" t="str">
        <f t="shared" si="40"/>
        <v>13</v>
      </c>
      <c r="D835" s="1">
        <v>105</v>
      </c>
    </row>
    <row r="836" spans="1:4" x14ac:dyDescent="0.25">
      <c r="A836" t="str">
        <f>"MIO-20SW12S"</f>
        <v>MIO-20SW12S</v>
      </c>
      <c r="B836" t="str">
        <f>"MIO, Schienenstrahler, CoB LED, 25W, 15°, 2700K, Gehäuse schwarz    "</f>
        <v xml:space="preserve">MIO, Schienenstrahler, CoB LED, 25W, 15°, 2700K, Gehäuse schwarz    </v>
      </c>
      <c r="C836" t="str">
        <f t="shared" si="40"/>
        <v>13</v>
      </c>
      <c r="D836" s="1">
        <v>105</v>
      </c>
    </row>
    <row r="837" spans="1:4" x14ac:dyDescent="0.25">
      <c r="A837" t="str">
        <f>"MIO-20SW12-60"</f>
        <v>MIO-20SW12-60</v>
      </c>
      <c r="B837" t="str">
        <f>"MIO, Schienenstrahler, CoB LED, 25W, 60°, 2700K, Gehäuse schwarz      "</f>
        <v xml:space="preserve">MIO, Schienenstrahler, CoB LED, 25W, 60°, 2700K, Gehäuse schwarz      </v>
      </c>
      <c r="C837" t="str">
        <f t="shared" si="40"/>
        <v>13</v>
      </c>
      <c r="D837" s="1">
        <v>105</v>
      </c>
    </row>
    <row r="838" spans="1:4" x14ac:dyDescent="0.25">
      <c r="A838" t="str">
        <f>"MIO-20WNW11F"</f>
        <v>MIO-20WNW11F</v>
      </c>
      <c r="B838" t="str">
        <f>"MIO, Schienenstrahler, CoB LED, 25W, 36°, 3500K, Gehäuse weiß         "</f>
        <v xml:space="preserve">MIO, Schienenstrahler, CoB LED, 25W, 36°, 3500K, Gehäuse weiß         </v>
      </c>
      <c r="C838" t="str">
        <f t="shared" si="40"/>
        <v>13</v>
      </c>
      <c r="D838" s="1">
        <v>105</v>
      </c>
    </row>
    <row r="839" spans="1:4" x14ac:dyDescent="0.25">
      <c r="A839" t="str">
        <f>"MIO-20WNW11S"</f>
        <v>MIO-20WNW11S</v>
      </c>
      <c r="B839" t="str">
        <f>"MIO, Schienenstrahler, CoB LED, 25W, 15°, 3500K, Gehäuse weiß    "</f>
        <v xml:space="preserve">MIO, Schienenstrahler, CoB LED, 25W, 15°, 3500K, Gehäuse weiß    </v>
      </c>
      <c r="C839" t="str">
        <f t="shared" si="40"/>
        <v>13</v>
      </c>
      <c r="D839" s="1">
        <v>105</v>
      </c>
    </row>
    <row r="840" spans="1:4" x14ac:dyDescent="0.25">
      <c r="A840" t="str">
        <f>"MIO-20WNW11-60"</f>
        <v>MIO-20WNW11-60</v>
      </c>
      <c r="B840" t="str">
        <f>"MIO, Schienenstrahler, CoB LED, 25W, 60°, 3500K, Gehäuse weiß           "</f>
        <v xml:space="preserve">MIO, Schienenstrahler, CoB LED, 25W, 60°, 3500K, Gehäuse weiß           </v>
      </c>
      <c r="C840" t="str">
        <f t="shared" si="40"/>
        <v>13</v>
      </c>
      <c r="D840" s="1">
        <v>105</v>
      </c>
    </row>
    <row r="841" spans="1:4" x14ac:dyDescent="0.25">
      <c r="A841" t="str">
        <f>"MIO-20WNW12F"</f>
        <v>MIO-20WNW12F</v>
      </c>
      <c r="B841" t="str">
        <f>"MIO, Schienenstrahler, CoB LED, 25W, 36°, 3500K, Gehäuse schwarz"</f>
        <v>MIO, Schienenstrahler, CoB LED, 25W, 36°, 3500K, Gehäuse schwarz</v>
      </c>
      <c r="C841" t="str">
        <f t="shared" si="40"/>
        <v>13</v>
      </c>
      <c r="D841" s="1">
        <v>105</v>
      </c>
    </row>
    <row r="842" spans="1:4" x14ac:dyDescent="0.25">
      <c r="A842" t="str">
        <f>"MIO-20WNW12S"</f>
        <v>MIO-20WNW12S</v>
      </c>
      <c r="B842" t="str">
        <f>"MIO, Schienenstrahler, CoB LED, 25W, 15°, 3500K, Gehäuse schwarz"</f>
        <v>MIO, Schienenstrahler, CoB LED, 25W, 15°, 3500K, Gehäuse schwarz</v>
      </c>
      <c r="C842" t="str">
        <f t="shared" si="40"/>
        <v>13</v>
      </c>
      <c r="D842" s="1">
        <v>105</v>
      </c>
    </row>
    <row r="843" spans="1:4" x14ac:dyDescent="0.25">
      <c r="A843" t="str">
        <f>"MIO-20WNW12-60"</f>
        <v>MIO-20WNW12-60</v>
      </c>
      <c r="B843" t="str">
        <f>"MIO, Schienenstrahler, CoB LED, 25W, 60°, 3500K, Gehäuse schwarz "</f>
        <v xml:space="preserve">MIO, Schienenstrahler, CoB LED, 25W, 60°, 3500K, Gehäuse schwarz </v>
      </c>
      <c r="C843" t="str">
        <f t="shared" si="40"/>
        <v>13</v>
      </c>
      <c r="D843" s="1">
        <v>105</v>
      </c>
    </row>
    <row r="844" spans="1:4" x14ac:dyDescent="0.25">
      <c r="A844" t="str">
        <f>"MIO-20WW11F"</f>
        <v>MIO-20WW11F</v>
      </c>
      <c r="B844" t="str">
        <f>"MIO, Schienenstrahler, CoB LED, 25W, 36°, 3000K, Gehäuse weiß         "</f>
        <v xml:space="preserve">MIO, Schienenstrahler, CoB LED, 25W, 36°, 3000K, Gehäuse weiß         </v>
      </c>
      <c r="C844" t="str">
        <f t="shared" si="40"/>
        <v>13</v>
      </c>
      <c r="D844" s="1">
        <v>105</v>
      </c>
    </row>
    <row r="845" spans="1:4" x14ac:dyDescent="0.25">
      <c r="A845" t="str">
        <f>"MIO-20WW11S"</f>
        <v>MIO-20WW11S</v>
      </c>
      <c r="B845" t="str">
        <f>"MIO, Schienenstrahler, CoB LED, 25W, 15°, 3000K, Gehäuse weiß"</f>
        <v>MIO, Schienenstrahler, CoB LED, 25W, 15°, 3000K, Gehäuse weiß</v>
      </c>
      <c r="C845" t="str">
        <f t="shared" si="40"/>
        <v>13</v>
      </c>
      <c r="D845" s="1">
        <v>105</v>
      </c>
    </row>
    <row r="846" spans="1:4" x14ac:dyDescent="0.25">
      <c r="A846" t="str">
        <f>"MIO-20WW11-60"</f>
        <v>MIO-20WW11-60</v>
      </c>
      <c r="B846" t="str">
        <f>"MIO, Schienenstrahler, CoB LED, 25W, 60°, 3000K, Gehäuse weiß"</f>
        <v>MIO, Schienenstrahler, CoB LED, 25W, 60°, 3000K, Gehäuse weiß</v>
      </c>
      <c r="C846" t="str">
        <f t="shared" si="40"/>
        <v>13</v>
      </c>
      <c r="D846" s="1">
        <v>105</v>
      </c>
    </row>
    <row r="847" spans="1:4" x14ac:dyDescent="0.25">
      <c r="A847" t="str">
        <f>"MIO-20WW12F"</f>
        <v>MIO-20WW12F</v>
      </c>
      <c r="B847" t="str">
        <f>"MIO, Schienenstrahler, CoB LED, 25W, 36°, 3000K, Gehäuse schwarz         "</f>
        <v xml:space="preserve">MIO, Schienenstrahler, CoB LED, 25W, 36°, 3000K, Gehäuse schwarz         </v>
      </c>
      <c r="C847" t="str">
        <f t="shared" si="40"/>
        <v>13</v>
      </c>
      <c r="D847" s="1">
        <v>105</v>
      </c>
    </row>
    <row r="848" spans="1:4" x14ac:dyDescent="0.25">
      <c r="A848" t="str">
        <f>"MIO-20WW12S"</f>
        <v>MIO-20WW12S</v>
      </c>
      <c r="B848" t="str">
        <f>"MIO, Schienenstrahler, CoB LED, 25W, 15°, 3000K, Gehäuse schwarz"</f>
        <v>MIO, Schienenstrahler, CoB LED, 25W, 15°, 3000K, Gehäuse schwarz</v>
      </c>
      <c r="C848" t="str">
        <f t="shared" si="40"/>
        <v>13</v>
      </c>
      <c r="D848" s="1">
        <v>105</v>
      </c>
    </row>
    <row r="849" spans="1:4" x14ac:dyDescent="0.25">
      <c r="A849" t="str">
        <f>"MIO-20WW12-60"</f>
        <v>MIO-20WW12-60</v>
      </c>
      <c r="B849" t="str">
        <f>"MIO, Schienenstrahler, CoB LED, 25W, 60°, 3000K, Gehäuse schwarz         "</f>
        <v xml:space="preserve">MIO, Schienenstrahler, CoB LED, 25W, 60°, 3000K, Gehäuse schwarz         </v>
      </c>
      <c r="C849" t="str">
        <f t="shared" si="40"/>
        <v>13</v>
      </c>
      <c r="D849" s="1">
        <v>105</v>
      </c>
    </row>
    <row r="850" spans="1:4" x14ac:dyDescent="0.25">
      <c r="A850" t="str">
        <f>"MIO-30NW11F"</f>
        <v>MIO-30NW11F</v>
      </c>
      <c r="B850" t="str">
        <f>"MIO, Schienenstrahler, CoB LED, 34W, 36°, 4000K, Gehäuse weiß           "</f>
        <v xml:space="preserve">MIO, Schienenstrahler, CoB LED, 34W, 36°, 4000K, Gehäuse weiß           </v>
      </c>
      <c r="C850" t="str">
        <f t="shared" si="40"/>
        <v>13</v>
      </c>
      <c r="D850" s="1">
        <v>108</v>
      </c>
    </row>
    <row r="851" spans="1:4" x14ac:dyDescent="0.25">
      <c r="A851" t="str">
        <f>"MIO-30NW11S"</f>
        <v>MIO-30NW11S</v>
      </c>
      <c r="B851" t="str">
        <f>"MIO, Schienenstrahler, CoB LED, 34W, 15°, 4000K, Gehäuse weiß           "</f>
        <v xml:space="preserve">MIO, Schienenstrahler, CoB LED, 34W, 15°, 4000K, Gehäuse weiß           </v>
      </c>
      <c r="C851" t="str">
        <f t="shared" si="40"/>
        <v>13</v>
      </c>
      <c r="D851" s="1">
        <v>108</v>
      </c>
    </row>
    <row r="852" spans="1:4" x14ac:dyDescent="0.25">
      <c r="A852" t="str">
        <f>"MIO-30NW11-60"</f>
        <v>MIO-30NW11-60</v>
      </c>
      <c r="B852" t="str">
        <f>"MIO, Schienenstrahler, CoB LED, 34W, 60°, 4000K, Gehäuse weiß          "</f>
        <v xml:space="preserve">MIO, Schienenstrahler, CoB LED, 34W, 60°, 4000K, Gehäuse weiß          </v>
      </c>
      <c r="C852" t="str">
        <f t="shared" si="40"/>
        <v>13</v>
      </c>
      <c r="D852" s="1">
        <v>108</v>
      </c>
    </row>
    <row r="853" spans="1:4" x14ac:dyDescent="0.25">
      <c r="A853" t="str">
        <f>"MIO-30NW12F"</f>
        <v>MIO-30NW12F</v>
      </c>
      <c r="B853" t="str">
        <f>"MIO, Schienenstrahler, CoB LED, 34W, 36°, 4000K, Gehäuse schwarz        "</f>
        <v xml:space="preserve">MIO, Schienenstrahler, CoB LED, 34W, 36°, 4000K, Gehäuse schwarz        </v>
      </c>
      <c r="C853" t="str">
        <f t="shared" si="40"/>
        <v>13</v>
      </c>
      <c r="D853" s="1">
        <v>108</v>
      </c>
    </row>
    <row r="854" spans="1:4" x14ac:dyDescent="0.25">
      <c r="A854" t="str">
        <f>"MIO-30NW12S"</f>
        <v>MIO-30NW12S</v>
      </c>
      <c r="B854" t="str">
        <f>"MIO, Schienenstrahler, CoB LED, 34W, 15°, 4000K, Gehäuse schwarz          "</f>
        <v xml:space="preserve">MIO, Schienenstrahler, CoB LED, 34W, 15°, 4000K, Gehäuse schwarz          </v>
      </c>
      <c r="C854" t="str">
        <f t="shared" si="40"/>
        <v>13</v>
      </c>
      <c r="D854" s="1">
        <v>108</v>
      </c>
    </row>
    <row r="855" spans="1:4" x14ac:dyDescent="0.25">
      <c r="A855" t="str">
        <f>"MIO-30NW12-60"</f>
        <v>MIO-30NW12-60</v>
      </c>
      <c r="B855" t="str">
        <f>"MIO, Schienenstrahler, CoB LED, 34W, 60°, 4000K, Gehäuse schwarz           "</f>
        <v xml:space="preserve">MIO, Schienenstrahler, CoB LED, 34W, 60°, 4000K, Gehäuse schwarz           </v>
      </c>
      <c r="C855" t="str">
        <f t="shared" si="40"/>
        <v>13</v>
      </c>
      <c r="D855" s="1">
        <v>108</v>
      </c>
    </row>
    <row r="856" spans="1:4" x14ac:dyDescent="0.25">
      <c r="A856" t="str">
        <f>"MIO-30SW11F"</f>
        <v>MIO-30SW11F</v>
      </c>
      <c r="B856" t="str">
        <f>"MIO, Schienenstrahler, CoB LED, 34W, 36°, 2700K, Gehäuse weiß         "</f>
        <v xml:space="preserve">MIO, Schienenstrahler, CoB LED, 34W, 36°, 2700K, Gehäuse weiß         </v>
      </c>
      <c r="C856" t="str">
        <f t="shared" si="40"/>
        <v>13</v>
      </c>
      <c r="D856" s="1">
        <v>108</v>
      </c>
    </row>
    <row r="857" spans="1:4" x14ac:dyDescent="0.25">
      <c r="A857" t="str">
        <f>"MIO-30SW11S"</f>
        <v>MIO-30SW11S</v>
      </c>
      <c r="B857" t="str">
        <f>"MIO, Schienenstrahler, CoB LED, 34W, 15°, 2700K, Gehäuse weiß      "</f>
        <v xml:space="preserve">MIO, Schienenstrahler, CoB LED, 34W, 15°, 2700K, Gehäuse weiß      </v>
      </c>
      <c r="C857" t="str">
        <f t="shared" si="40"/>
        <v>13</v>
      </c>
      <c r="D857" s="1">
        <v>108</v>
      </c>
    </row>
    <row r="858" spans="1:4" x14ac:dyDescent="0.25">
      <c r="A858" t="str">
        <f>"MIO-30SW11-60"</f>
        <v>MIO-30SW11-60</v>
      </c>
      <c r="B858" t="str">
        <f>"MIO, Schienenstrahler, CoB LED, 34W, 60°, 2700K, Gehäuse weiß           "</f>
        <v xml:space="preserve">MIO, Schienenstrahler, CoB LED, 34W, 60°, 2700K, Gehäuse weiß           </v>
      </c>
      <c r="C858" t="str">
        <f t="shared" si="40"/>
        <v>13</v>
      </c>
      <c r="D858" s="1">
        <v>108</v>
      </c>
    </row>
    <row r="859" spans="1:4" x14ac:dyDescent="0.25">
      <c r="A859" t="str">
        <f>"MIO-30SW12F"</f>
        <v>MIO-30SW12F</v>
      </c>
      <c r="B859" t="str">
        <f>"MIO, Schienenstrahler, CoB LED, 34W, 36°, 2700K, Gehäuse schwarz         "</f>
        <v xml:space="preserve">MIO, Schienenstrahler, CoB LED, 34W, 36°, 2700K, Gehäuse schwarz         </v>
      </c>
      <c r="C859" t="str">
        <f t="shared" si="40"/>
        <v>13</v>
      </c>
      <c r="D859" s="1">
        <v>108</v>
      </c>
    </row>
    <row r="860" spans="1:4" x14ac:dyDescent="0.25">
      <c r="A860" t="str">
        <f>"MIO-30SW12S"</f>
        <v>MIO-30SW12S</v>
      </c>
      <c r="B860" t="str">
        <f>"MIO, Schienenstrahler, CoB LED, 34W, 15°, 2700K, Gehäuse schwarz    "</f>
        <v xml:space="preserve">MIO, Schienenstrahler, CoB LED, 34W, 15°, 2700K, Gehäuse schwarz    </v>
      </c>
      <c r="C860" t="str">
        <f t="shared" si="40"/>
        <v>13</v>
      </c>
      <c r="D860" s="1">
        <v>108</v>
      </c>
    </row>
    <row r="861" spans="1:4" x14ac:dyDescent="0.25">
      <c r="A861" t="str">
        <f>"MIO-30SW12-60"</f>
        <v>MIO-30SW12-60</v>
      </c>
      <c r="B861" t="str">
        <f>"MIO, Schienenstrahler, CoB LED, 34W, 60°, 2700K, Gehäuse schwarz      "</f>
        <v xml:space="preserve">MIO, Schienenstrahler, CoB LED, 34W, 60°, 2700K, Gehäuse schwarz      </v>
      </c>
      <c r="C861" t="str">
        <f t="shared" si="40"/>
        <v>13</v>
      </c>
      <c r="D861" s="1">
        <v>108</v>
      </c>
    </row>
    <row r="862" spans="1:4" x14ac:dyDescent="0.25">
      <c r="A862" t="str">
        <f>"MIO-30WNW11F"</f>
        <v>MIO-30WNW11F</v>
      </c>
      <c r="B862" t="str">
        <f>"MIO, Schienenstrahler, CoB LED, 34W, 36°, 3500K, Gehäuse weiß         "</f>
        <v xml:space="preserve">MIO, Schienenstrahler, CoB LED, 34W, 36°, 3500K, Gehäuse weiß         </v>
      </c>
      <c r="C862" t="str">
        <f t="shared" si="40"/>
        <v>13</v>
      </c>
      <c r="D862" s="1">
        <v>108</v>
      </c>
    </row>
    <row r="863" spans="1:4" x14ac:dyDescent="0.25">
      <c r="A863" t="str">
        <f>"MIO-30WNW11S"</f>
        <v>MIO-30WNW11S</v>
      </c>
      <c r="B863" t="str">
        <f>"MIO, Schienenstrahler, CoB LED, 34W, 15°, 3500K, Gehäuse weiß    "</f>
        <v xml:space="preserve">MIO, Schienenstrahler, CoB LED, 34W, 15°, 3500K, Gehäuse weiß    </v>
      </c>
      <c r="C863" t="str">
        <f t="shared" si="40"/>
        <v>13</v>
      </c>
      <c r="D863" s="1">
        <v>108</v>
      </c>
    </row>
    <row r="864" spans="1:4" x14ac:dyDescent="0.25">
      <c r="A864" t="str">
        <f>"MIO-30WNW11-60"</f>
        <v>MIO-30WNW11-60</v>
      </c>
      <c r="B864" t="str">
        <f>"MIO, Schienenstrahler, CoB LED, 34W, 60°, 3500K, Gehäuse weiß           "</f>
        <v xml:space="preserve">MIO, Schienenstrahler, CoB LED, 34W, 60°, 3500K, Gehäuse weiß           </v>
      </c>
      <c r="C864" t="str">
        <f t="shared" si="40"/>
        <v>13</v>
      </c>
      <c r="D864" s="1">
        <v>108</v>
      </c>
    </row>
    <row r="865" spans="1:4" x14ac:dyDescent="0.25">
      <c r="A865" t="str">
        <f>"MIO-30WNW12F"</f>
        <v>MIO-30WNW12F</v>
      </c>
      <c r="B865" t="str">
        <f>"MIO, Schienenstrahler, CoB LED, 34W, 36°, 3500K, Gehäuse schwarz"</f>
        <v>MIO, Schienenstrahler, CoB LED, 34W, 36°, 3500K, Gehäuse schwarz</v>
      </c>
      <c r="C865" t="str">
        <f t="shared" si="40"/>
        <v>13</v>
      </c>
      <c r="D865" s="1">
        <v>108</v>
      </c>
    </row>
    <row r="866" spans="1:4" x14ac:dyDescent="0.25">
      <c r="A866" t="str">
        <f>"MIO-30WNW12S"</f>
        <v>MIO-30WNW12S</v>
      </c>
      <c r="B866" t="str">
        <f>"MIO, Schienenstrahler, CoB LED, 34W, 15°, 3500K, Gehäuse schwarz           "</f>
        <v xml:space="preserve">MIO, Schienenstrahler, CoB LED, 34W, 15°, 3500K, Gehäuse schwarz           </v>
      </c>
      <c r="C866" t="str">
        <f t="shared" si="40"/>
        <v>13</v>
      </c>
      <c r="D866" s="1">
        <v>108</v>
      </c>
    </row>
    <row r="867" spans="1:4" x14ac:dyDescent="0.25">
      <c r="A867" t="str">
        <f>"MIO-30WNW12-60"</f>
        <v>MIO-30WNW12-60</v>
      </c>
      <c r="B867" t="str">
        <f>"MIO, Schienenstrahler, CoB LED, 34W, 60°, 3500K, Gehäuse schwarz         "</f>
        <v xml:space="preserve">MIO, Schienenstrahler, CoB LED, 34W, 60°, 3500K, Gehäuse schwarz         </v>
      </c>
      <c r="C867" t="str">
        <f t="shared" si="40"/>
        <v>13</v>
      </c>
      <c r="D867" s="1">
        <v>108</v>
      </c>
    </row>
    <row r="868" spans="1:4" x14ac:dyDescent="0.25">
      <c r="A868" t="str">
        <f>"MIO-30WW11F"</f>
        <v>MIO-30WW11F</v>
      </c>
      <c r="B868" t="str">
        <f>"MIO, Schienenstrahler, CoB LED, 34W, 36°, 3000K, Gehäuse weiß         "</f>
        <v xml:space="preserve">MIO, Schienenstrahler, CoB LED, 34W, 36°, 3000K, Gehäuse weiß         </v>
      </c>
      <c r="C868" t="str">
        <f t="shared" si="40"/>
        <v>13</v>
      </c>
      <c r="D868" s="1">
        <v>108</v>
      </c>
    </row>
    <row r="869" spans="1:4" x14ac:dyDescent="0.25">
      <c r="A869" t="str">
        <f>"MIO-30WW11S"</f>
        <v>MIO-30WW11S</v>
      </c>
      <c r="B869" t="str">
        <f>"MIO, Schienenstrahler, CoB LED, 34W, 15°, 3000K, Gehäuse weiß"</f>
        <v>MIO, Schienenstrahler, CoB LED, 34W, 15°, 3000K, Gehäuse weiß</v>
      </c>
      <c r="C869" t="str">
        <f t="shared" si="40"/>
        <v>13</v>
      </c>
      <c r="D869" s="1">
        <v>108</v>
      </c>
    </row>
    <row r="870" spans="1:4" x14ac:dyDescent="0.25">
      <c r="A870" t="str">
        <f>"MIO-30WW11-60"</f>
        <v>MIO-30WW11-60</v>
      </c>
      <c r="B870" t="str">
        <f>"MIO, Schienenstrahler, CoB LED, 34W, 60°, 3000K, Gehäuse weiß"</f>
        <v>MIO, Schienenstrahler, CoB LED, 34W, 60°, 3000K, Gehäuse weiß</v>
      </c>
      <c r="C870" t="str">
        <f t="shared" si="40"/>
        <v>13</v>
      </c>
      <c r="D870" s="1">
        <v>108</v>
      </c>
    </row>
    <row r="871" spans="1:4" x14ac:dyDescent="0.25">
      <c r="A871" t="str">
        <f>"MIO-30WW12F"</f>
        <v>MIO-30WW12F</v>
      </c>
      <c r="B871" t="str">
        <f>"MIO, Schienenstrahler, CoB LED, 34W, 36°, 3000K, Gehäuse schwarz         "</f>
        <v xml:space="preserve">MIO, Schienenstrahler, CoB LED, 34W, 36°, 3000K, Gehäuse schwarz         </v>
      </c>
      <c r="C871" t="str">
        <f t="shared" si="40"/>
        <v>13</v>
      </c>
      <c r="D871" s="1">
        <v>108</v>
      </c>
    </row>
    <row r="872" spans="1:4" x14ac:dyDescent="0.25">
      <c r="A872" t="str">
        <f>"MIO-30WW12S"</f>
        <v>MIO-30WW12S</v>
      </c>
      <c r="B872" t="str">
        <f>"MIO, Schienenstrahler, CoB LED, 34W, 15°, 3000K, Gehäuse schwarz"</f>
        <v>MIO, Schienenstrahler, CoB LED, 34W, 15°, 3000K, Gehäuse schwarz</v>
      </c>
      <c r="C872" t="str">
        <f t="shared" si="40"/>
        <v>13</v>
      </c>
      <c r="D872" s="1">
        <v>108</v>
      </c>
    </row>
    <row r="873" spans="1:4" x14ac:dyDescent="0.25">
      <c r="A873" t="str">
        <f>"MIO-30WW12-60"</f>
        <v>MIO-30WW12-60</v>
      </c>
      <c r="B873" t="str">
        <f>"MIO, Schienenstrahler, CoB LED, 34W, 60°, 3000K, Gehäuse schwarz         "</f>
        <v xml:space="preserve">MIO, Schienenstrahler, CoB LED, 34W, 60°, 3000K, Gehäuse schwarz         </v>
      </c>
      <c r="C873" t="str">
        <f t="shared" si="40"/>
        <v>13</v>
      </c>
      <c r="D873" s="1">
        <v>108</v>
      </c>
    </row>
    <row r="874" spans="1:4" x14ac:dyDescent="0.25">
      <c r="A874" t="str">
        <f>"MIRF-18WW6"</f>
        <v>MIRF-18WW6</v>
      </c>
      <c r="B874" t="str">
        <f>"MIRON Wandleuchte LED 18W, 3000K, Ausstrahlwinkel 120°, anthrazit"</f>
        <v>MIRON Wandleuchte LED 18W, 3000K, Ausstrahlwinkel 120°, anthrazit</v>
      </c>
      <c r="C874" t="str">
        <f t="shared" ref="C874:C889" si="41">"227"</f>
        <v>227</v>
      </c>
      <c r="D874" s="1">
        <v>375.5</v>
      </c>
    </row>
    <row r="875" spans="1:4" x14ac:dyDescent="0.25">
      <c r="A875" t="str">
        <f>"MIRF-18WW7"</f>
        <v>MIRF-18WW7</v>
      </c>
      <c r="B875" t="str">
        <f>"MIRON Wandleuchte LED 18W, 3000K, Ausstrahlwinkel 120°, metallgrau"</f>
        <v>MIRON Wandleuchte LED 18W, 3000K, Ausstrahlwinkel 120°, metallgrau</v>
      </c>
      <c r="C875" t="str">
        <f t="shared" si="41"/>
        <v>227</v>
      </c>
      <c r="D875" s="1">
        <v>375.5</v>
      </c>
    </row>
    <row r="876" spans="1:4" x14ac:dyDescent="0.25">
      <c r="A876" t="str">
        <f>"MIRMAF-40WW6"</f>
        <v>MIRMAF-40WW6</v>
      </c>
      <c r="B876" t="str">
        <f>"MIRON Wandleuchte LED 40W, 3000K, Ausstrahlwinkel 120°, anthrazit"</f>
        <v>MIRON Wandleuchte LED 40W, 3000K, Ausstrahlwinkel 120°, anthrazit</v>
      </c>
      <c r="C876" t="str">
        <f t="shared" si="41"/>
        <v>227</v>
      </c>
      <c r="D876" s="1">
        <v>460</v>
      </c>
    </row>
    <row r="877" spans="1:4" x14ac:dyDescent="0.25">
      <c r="A877" t="str">
        <f>"MIRMAF-40WW7"</f>
        <v>MIRMAF-40WW7</v>
      </c>
      <c r="B877" t="str">
        <f>"MIRON Wandleuchte LED 40W, 3000K, Ausstrahlwinkel 120°, metallgrau"</f>
        <v>MIRON Wandleuchte LED 40W, 3000K, Ausstrahlwinkel 120°, metallgrau</v>
      </c>
      <c r="C877" t="str">
        <f t="shared" si="41"/>
        <v>227</v>
      </c>
      <c r="D877" s="1">
        <v>460</v>
      </c>
    </row>
    <row r="878" spans="1:4" x14ac:dyDescent="0.25">
      <c r="A878" t="str">
        <f>"MIRMA-40WW6"</f>
        <v>MIRMA-40WW6</v>
      </c>
      <c r="B878" t="str">
        <f>"MIRON Wandleuchte LED 40W, 3000K, Ausstrahlwinkel 50°, anthrazit"</f>
        <v>MIRON Wandleuchte LED 40W, 3000K, Ausstrahlwinkel 50°, anthrazit</v>
      </c>
      <c r="C878" t="str">
        <f t="shared" si="41"/>
        <v>227</v>
      </c>
      <c r="D878" s="1">
        <v>460</v>
      </c>
    </row>
    <row r="879" spans="1:4" x14ac:dyDescent="0.25">
      <c r="A879" t="str">
        <f>"MIRMA-40WW6A"</f>
        <v>MIRMA-40WW6A</v>
      </c>
      <c r="B879" t="str">
        <f>"MIRON Wandleuchte LED 40W, 3000K, asymmetrisch, anthrazit"</f>
        <v>MIRON Wandleuchte LED 40W, 3000K, asymmetrisch, anthrazit</v>
      </c>
      <c r="C879" t="str">
        <f t="shared" si="41"/>
        <v>227</v>
      </c>
      <c r="D879" s="1">
        <v>460</v>
      </c>
    </row>
    <row r="880" spans="1:4" x14ac:dyDescent="0.25">
      <c r="A880" t="str">
        <f>"MIRMA-40WW6S"</f>
        <v>MIRMA-40WW6S</v>
      </c>
      <c r="B880" t="str">
        <f>"MIRON Wandleuchte LED 40W, 3000K, Ausstrahlwinkel 15°, anthrazit"</f>
        <v>MIRON Wandleuchte LED 40W, 3000K, Ausstrahlwinkel 15°, anthrazit</v>
      </c>
      <c r="C880" t="str">
        <f t="shared" si="41"/>
        <v>227</v>
      </c>
      <c r="D880" s="1">
        <v>460</v>
      </c>
    </row>
    <row r="881" spans="1:4" x14ac:dyDescent="0.25">
      <c r="A881" t="str">
        <f>"MIRMA-40WW7"</f>
        <v>MIRMA-40WW7</v>
      </c>
      <c r="B881" t="str">
        <f>"MIRON Wandleuchte LED 40W, 3000K, Ausstrahlwinkel 50°, metallgrau"</f>
        <v>MIRON Wandleuchte LED 40W, 3000K, Ausstrahlwinkel 50°, metallgrau</v>
      </c>
      <c r="C881" t="str">
        <f t="shared" si="41"/>
        <v>227</v>
      </c>
      <c r="D881" s="1">
        <v>460</v>
      </c>
    </row>
    <row r="882" spans="1:4" x14ac:dyDescent="0.25">
      <c r="A882" t="str">
        <f>"MIRMA-40WW7A"</f>
        <v>MIRMA-40WW7A</v>
      </c>
      <c r="B882" t="str">
        <f>"MIRON Wandleuchte LED 40W, 3000K, asymmetrisch, metallgrau"</f>
        <v>MIRON Wandleuchte LED 40W, 3000K, asymmetrisch, metallgrau</v>
      </c>
      <c r="C882" t="str">
        <f t="shared" si="41"/>
        <v>227</v>
      </c>
      <c r="D882" s="1">
        <v>460</v>
      </c>
    </row>
    <row r="883" spans="1:4" x14ac:dyDescent="0.25">
      <c r="A883" t="str">
        <f>"MIRMA-40WW7S"</f>
        <v>MIRMA-40WW7S</v>
      </c>
      <c r="B883" t="str">
        <f>"MIRON Wandleuchte LED 40W, 3000K, Ausstrahlwinkel 15°, metallgrau"</f>
        <v>MIRON Wandleuchte LED 40W, 3000K, Ausstrahlwinkel 15°, metallgrau</v>
      </c>
      <c r="C883" t="str">
        <f t="shared" si="41"/>
        <v>227</v>
      </c>
      <c r="D883" s="1">
        <v>460</v>
      </c>
    </row>
    <row r="884" spans="1:4" x14ac:dyDescent="0.25">
      <c r="A884" t="str">
        <f>"MIR-18WW6"</f>
        <v>MIR-18WW6</v>
      </c>
      <c r="B884" t="str">
        <f>"MIRON Wandleuchte LED 18W, 3000K, Ausstrahlwinkel 50°, anthrazit"</f>
        <v>MIRON Wandleuchte LED 18W, 3000K, Ausstrahlwinkel 50°, anthrazit</v>
      </c>
      <c r="C884" t="str">
        <f t="shared" si="41"/>
        <v>227</v>
      </c>
      <c r="D884" s="1">
        <v>375.5</v>
      </c>
    </row>
    <row r="885" spans="1:4" x14ac:dyDescent="0.25">
      <c r="A885" t="str">
        <f>"MIR-18WW6A"</f>
        <v>MIR-18WW6A</v>
      </c>
      <c r="B885" t="str">
        <f>"MIRON Wandleuchte LED 18W, 3000K, asymmetrisch, anthrazit"</f>
        <v>MIRON Wandleuchte LED 18W, 3000K, asymmetrisch, anthrazit</v>
      </c>
      <c r="C885" t="str">
        <f t="shared" si="41"/>
        <v>227</v>
      </c>
      <c r="D885" s="1">
        <v>375.5</v>
      </c>
    </row>
    <row r="886" spans="1:4" x14ac:dyDescent="0.25">
      <c r="A886" t="str">
        <f>"MIR-18WW6S"</f>
        <v>MIR-18WW6S</v>
      </c>
      <c r="B886" t="str">
        <f>"MIRON Wandleuchte LED 18W, 3000K, Ausstrahlwinkel 15°, anthrazit"</f>
        <v>MIRON Wandleuchte LED 18W, 3000K, Ausstrahlwinkel 15°, anthrazit</v>
      </c>
      <c r="C886" t="str">
        <f t="shared" si="41"/>
        <v>227</v>
      </c>
      <c r="D886" s="1">
        <v>375.5</v>
      </c>
    </row>
    <row r="887" spans="1:4" x14ac:dyDescent="0.25">
      <c r="A887" t="str">
        <f>"MIR-18WW7"</f>
        <v>MIR-18WW7</v>
      </c>
      <c r="B887" t="str">
        <f>"MIRON Wandleuchte LED 18W, 3000K, Ausstrahlwinkel 50°, metallgrau"</f>
        <v>MIRON Wandleuchte LED 18W, 3000K, Ausstrahlwinkel 50°, metallgrau</v>
      </c>
      <c r="C887" t="str">
        <f t="shared" si="41"/>
        <v>227</v>
      </c>
      <c r="D887" s="1">
        <v>375.5</v>
      </c>
    </row>
    <row r="888" spans="1:4" x14ac:dyDescent="0.25">
      <c r="A888" t="str">
        <f>"MIR-18WW7A"</f>
        <v>MIR-18WW7A</v>
      </c>
      <c r="B888" t="str">
        <f>"MIRON Wandleuchte LED 18W, 3000K, asymmetrisch, metallgrau"</f>
        <v>MIRON Wandleuchte LED 18W, 3000K, asymmetrisch, metallgrau</v>
      </c>
      <c r="C888" t="str">
        <f t="shared" si="41"/>
        <v>227</v>
      </c>
      <c r="D888" s="1">
        <v>375.5</v>
      </c>
    </row>
    <row r="889" spans="1:4" x14ac:dyDescent="0.25">
      <c r="A889" t="str">
        <f>"MIR-18WW7S"</f>
        <v>MIR-18WW7S</v>
      </c>
      <c r="B889" t="str">
        <f>"MIRON Wandleuchte LED 18W, 3000K, Ausstrahlwinkel 15°, metallgrau"</f>
        <v>MIRON Wandleuchte LED 18W, 3000K, Ausstrahlwinkel 15°, metallgrau</v>
      </c>
      <c r="C889" t="str">
        <f t="shared" si="41"/>
        <v>227</v>
      </c>
      <c r="D889" s="1">
        <v>375.5</v>
      </c>
    </row>
    <row r="890" spans="1:4" x14ac:dyDescent="0.25">
      <c r="A890" t="str">
        <f>"MOD-3WW08"</f>
        <v>MOD-3WW08</v>
      </c>
      <c r="B890" t="str">
        <f>"Modulo A, Wandanbauleuchte, ALU-Druckguß, LED 4W, 3000K, 24V, inkl. VG u."</f>
        <v>Modulo A, Wandanbauleuchte, ALU-Druckguß, LED 4W, 3000K, 24V, inkl. VG u.</v>
      </c>
      <c r="C890" t="str">
        <f t="shared" ref="C890:C897" si="42">"229"</f>
        <v>229</v>
      </c>
      <c r="D890" s="1">
        <v>135</v>
      </c>
    </row>
    <row r="891" spans="1:4" x14ac:dyDescent="0.25">
      <c r="A891" t="str">
        <f>"MOD-3WW1"</f>
        <v>MOD-3WW1</v>
      </c>
      <c r="B891" t="str">
        <f>"Modulo A, Wandanbauleuchte, ALU-Druckguß, LED 4W, 3000K, 24V, inkl. VG u."</f>
        <v>Modulo A, Wandanbauleuchte, ALU-Druckguß, LED 4W, 3000K, 24V, inkl. VG u.</v>
      </c>
      <c r="C891" t="str">
        <f t="shared" si="42"/>
        <v>229</v>
      </c>
      <c r="D891" s="1">
        <v>135</v>
      </c>
    </row>
    <row r="892" spans="1:4" x14ac:dyDescent="0.25">
      <c r="A892" t="str">
        <f>"MOD-3WW6"</f>
        <v>MOD-3WW6</v>
      </c>
      <c r="B892" t="str">
        <f>"Modulo A, eckig, Wandanbauleuchte, ALU-Druckguß, LED 4W, 3000K, 24V, inkl. VG u."</f>
        <v>Modulo A, eckig, Wandanbauleuchte, ALU-Druckguß, LED 4W, 3000K, 24V, inkl. VG u.</v>
      </c>
      <c r="C892" t="str">
        <f t="shared" si="42"/>
        <v>229</v>
      </c>
      <c r="D892" s="1">
        <v>135</v>
      </c>
    </row>
    <row r="893" spans="1:4" x14ac:dyDescent="0.25">
      <c r="A893" t="str">
        <f>"MOD-3WW7"</f>
        <v>MOD-3WW7</v>
      </c>
      <c r="B893" t="str">
        <f>"Modulo A, Wandanbauleuchte, eckig, ALU-Druckguß, LED 4W, 3000K, 24V, inkl. VG u."</f>
        <v>Modulo A, Wandanbauleuchte, eckig, ALU-Druckguß, LED 4W, 3000K, 24V, inkl. VG u.</v>
      </c>
      <c r="C893" t="str">
        <f t="shared" si="42"/>
        <v>229</v>
      </c>
      <c r="D893" s="1">
        <v>135</v>
      </c>
    </row>
    <row r="894" spans="1:4" x14ac:dyDescent="0.25">
      <c r="A894" t="str">
        <f>"MOD-6WW08"</f>
        <v>MOD-6WW08</v>
      </c>
      <c r="B894" t="str">
        <f>"Modulo A, Wandanbauleuchte, ALU-Druckguß, LED 7W, 3000K, 24V, inkl. VG u."</f>
        <v>Modulo A, Wandanbauleuchte, ALU-Druckguß, LED 7W, 3000K, 24V, inkl. VG u.</v>
      </c>
      <c r="C894" t="str">
        <f t="shared" si="42"/>
        <v>229</v>
      </c>
      <c r="D894" s="1">
        <v>147.5</v>
      </c>
    </row>
    <row r="895" spans="1:4" x14ac:dyDescent="0.25">
      <c r="A895" t="str">
        <f>"MOD-6WW1"</f>
        <v>MOD-6WW1</v>
      </c>
      <c r="B895" t="str">
        <f>"Modulo A, Wandanbauleuchte, ALU-Druckguß, LED 7W, 3000K, 24V, inkl. VG u."</f>
        <v>Modulo A, Wandanbauleuchte, ALU-Druckguß, LED 7W, 3000K, 24V, inkl. VG u.</v>
      </c>
      <c r="C895" t="str">
        <f t="shared" si="42"/>
        <v>229</v>
      </c>
      <c r="D895" s="1">
        <v>147.5</v>
      </c>
    </row>
    <row r="896" spans="1:4" x14ac:dyDescent="0.25">
      <c r="A896" t="str">
        <f>"MOD-6WW6"</f>
        <v>MOD-6WW6</v>
      </c>
      <c r="B896" t="str">
        <f>"Modulo A, eckig, Wandanbauleuchte, ALU-Druckguß, LED 7W, 3000K, 24V, inkl. VG u."</f>
        <v>Modulo A, eckig, Wandanbauleuchte, ALU-Druckguß, LED 7W, 3000K, 24V, inkl. VG u.</v>
      </c>
      <c r="C896" t="str">
        <f t="shared" si="42"/>
        <v>229</v>
      </c>
      <c r="D896" s="1">
        <v>147.5</v>
      </c>
    </row>
    <row r="897" spans="1:4" x14ac:dyDescent="0.25">
      <c r="A897" t="str">
        <f>"MOD-6WW7"</f>
        <v>MOD-6WW7</v>
      </c>
      <c r="B897" t="str">
        <f>"Modulo A, Wandanbauleuchte, eckig, ALU-Druckguß, LED 7W, 3000K, 24V, inkl. VG u."</f>
        <v>Modulo A, Wandanbauleuchte, eckig, ALU-Druckguß, LED 7W, 3000K, 24V, inkl. VG u.</v>
      </c>
      <c r="C897" t="str">
        <f t="shared" si="42"/>
        <v>229</v>
      </c>
      <c r="D897" s="1">
        <v>147.5</v>
      </c>
    </row>
    <row r="898" spans="1:4" x14ac:dyDescent="0.25">
      <c r="A898" t="str">
        <f>"M-SPC2"</f>
        <v>M-SPC2</v>
      </c>
      <c r="B898" t="str">
        <f>"Blendschutz für SPACE, schwarz"</f>
        <v>Blendschutz für SPACE, schwarz</v>
      </c>
      <c r="C898" t="str">
        <f>"129"</f>
        <v>129</v>
      </c>
      <c r="D898" s="1">
        <v>77.5</v>
      </c>
    </row>
    <row r="899" spans="1:4" x14ac:dyDescent="0.25">
      <c r="A899" t="str">
        <f>"NAHE-12NW7"</f>
        <v>NAHE-12NW7</v>
      </c>
      <c r="B899" t="str">
        <f>"NAHE Lichtleiste 12W, 4000K, eckige Abdeckung, 854mm"</f>
        <v>NAHE Lichtleiste 12W, 4000K, eckige Abdeckung, 854mm</v>
      </c>
      <c r="C899" t="str">
        <f t="shared" ref="C899:C916" si="43">"101"</f>
        <v>101</v>
      </c>
      <c r="D899" s="1">
        <v>48</v>
      </c>
    </row>
    <row r="900" spans="1:4" x14ac:dyDescent="0.25">
      <c r="A900" t="str">
        <f>"NAHE-12WW7"</f>
        <v>NAHE-12WW7</v>
      </c>
      <c r="B900" t="str">
        <f>"NAHE Lichtleiste 12W, 3000K, eckige Abdeckung, 854mm"</f>
        <v>NAHE Lichtleiste 12W, 3000K, eckige Abdeckung, 854mm</v>
      </c>
      <c r="C900" t="str">
        <f t="shared" si="43"/>
        <v>101</v>
      </c>
      <c r="D900" s="1">
        <v>48</v>
      </c>
    </row>
    <row r="901" spans="1:4" x14ac:dyDescent="0.25">
      <c r="A901" t="str">
        <f>"NAHE-4NW7"</f>
        <v>NAHE-4NW7</v>
      </c>
      <c r="B901" t="str">
        <f>"NAHE Lichtleiste 4W, 4000K, eckige Abdeckung, 294mm"</f>
        <v>NAHE Lichtleiste 4W, 4000K, eckige Abdeckung, 294mm</v>
      </c>
      <c r="C901" t="str">
        <f t="shared" si="43"/>
        <v>101</v>
      </c>
      <c r="D901" s="1">
        <v>24</v>
      </c>
    </row>
    <row r="902" spans="1:4" x14ac:dyDescent="0.25">
      <c r="A902" t="str">
        <f>"NAHE-4WW7"</f>
        <v>NAHE-4WW7</v>
      </c>
      <c r="B902" t="str">
        <f>"NAHE Lichtleiste 4W, 3000K, eckige Abdeckung, 294mm"</f>
        <v>NAHE Lichtleiste 4W, 3000K, eckige Abdeckung, 294mm</v>
      </c>
      <c r="C902" t="str">
        <f t="shared" si="43"/>
        <v>101</v>
      </c>
      <c r="D902" s="1">
        <v>24</v>
      </c>
    </row>
    <row r="903" spans="1:4" x14ac:dyDescent="0.25">
      <c r="A903" t="str">
        <f>"NAHE-8NW7"</f>
        <v>NAHE-8NW7</v>
      </c>
      <c r="B903" t="str">
        <f>"NAHE Lichtleiste, 8W, 4000K, eckige Abdeckung, 574mm"</f>
        <v>NAHE Lichtleiste, 8W, 4000K, eckige Abdeckung, 574mm</v>
      </c>
      <c r="C903" t="str">
        <f t="shared" si="43"/>
        <v>101</v>
      </c>
      <c r="D903" s="1">
        <v>35</v>
      </c>
    </row>
    <row r="904" spans="1:4" x14ac:dyDescent="0.25">
      <c r="A904" t="str">
        <f>"NAHE-8WW7"</f>
        <v>NAHE-8WW7</v>
      </c>
      <c r="B904" t="str">
        <f>"NAHE Lichtleiste, 8W, 3000K, eckige Abdeckung, 574mm"</f>
        <v>NAHE Lichtleiste, 8W, 3000K, eckige Abdeckung, 574mm</v>
      </c>
      <c r="C904" t="str">
        <f t="shared" si="43"/>
        <v>101</v>
      </c>
      <c r="D904" s="1">
        <v>35</v>
      </c>
    </row>
    <row r="905" spans="1:4" x14ac:dyDescent="0.25">
      <c r="A905" t="str">
        <f>"NAHR-12NW7"</f>
        <v>NAHR-12NW7</v>
      </c>
      <c r="B905" t="str">
        <f>"NAHR Lichtleiste 12W, 4000K, runde Abdeckung, 854mm"</f>
        <v>NAHR Lichtleiste 12W, 4000K, runde Abdeckung, 854mm</v>
      </c>
      <c r="C905" t="str">
        <f t="shared" si="43"/>
        <v>101</v>
      </c>
      <c r="D905" s="1">
        <v>48</v>
      </c>
    </row>
    <row r="906" spans="1:4" x14ac:dyDescent="0.25">
      <c r="A906" t="str">
        <f>"NAHR-12WW7"</f>
        <v>NAHR-12WW7</v>
      </c>
      <c r="B906" t="str">
        <f>"NAHR Lichtleiste 12W, 3000K, runde Abdeckung, 854mm"</f>
        <v>NAHR Lichtleiste 12W, 3000K, runde Abdeckung, 854mm</v>
      </c>
      <c r="C906" t="str">
        <f t="shared" si="43"/>
        <v>101</v>
      </c>
      <c r="D906" s="1">
        <v>48</v>
      </c>
    </row>
    <row r="907" spans="1:4" x14ac:dyDescent="0.25">
      <c r="A907" t="str">
        <f>"NAHR-4NW7"</f>
        <v>NAHR-4NW7</v>
      </c>
      <c r="B907" t="str">
        <f>"NAHR Lichtleiste 4W, 4000K, runde Abdeckung, 294mm"</f>
        <v>NAHR Lichtleiste 4W, 4000K, runde Abdeckung, 294mm</v>
      </c>
      <c r="C907" t="str">
        <f t="shared" si="43"/>
        <v>101</v>
      </c>
      <c r="D907" s="1">
        <v>24</v>
      </c>
    </row>
    <row r="908" spans="1:4" x14ac:dyDescent="0.25">
      <c r="A908" t="str">
        <f>"NAHR-4WW7"</f>
        <v>NAHR-4WW7</v>
      </c>
      <c r="B908" t="str">
        <f>"NAHR Lichtleiste 4W, 3000K, runde Abdeckung, 294mm"</f>
        <v>NAHR Lichtleiste 4W, 3000K, runde Abdeckung, 294mm</v>
      </c>
      <c r="C908" t="str">
        <f t="shared" si="43"/>
        <v>101</v>
      </c>
      <c r="D908" s="1">
        <v>24</v>
      </c>
    </row>
    <row r="909" spans="1:4" x14ac:dyDescent="0.25">
      <c r="A909" t="str">
        <f>"NAHR-8NW7"</f>
        <v>NAHR-8NW7</v>
      </c>
      <c r="B909" t="str">
        <f>"NAHR Lichtleiste, 8W, 4000K, runde Abdeckung, 574mm"</f>
        <v>NAHR Lichtleiste, 8W, 4000K, runde Abdeckung, 574mm</v>
      </c>
      <c r="C909" t="str">
        <f t="shared" si="43"/>
        <v>101</v>
      </c>
      <c r="D909" s="1">
        <v>35</v>
      </c>
    </row>
    <row r="910" spans="1:4" x14ac:dyDescent="0.25">
      <c r="A910" t="str">
        <f>"NAHR-8WW7"</f>
        <v>NAHR-8WW7</v>
      </c>
      <c r="B910" t="str">
        <f>"NAHR Lichtleiste, 8W, 3000K, runde Abdeckung, 574mm"</f>
        <v>NAHR Lichtleiste, 8W, 3000K, runde Abdeckung, 574mm</v>
      </c>
      <c r="C910" t="str">
        <f t="shared" si="43"/>
        <v>101</v>
      </c>
      <c r="D910" s="1">
        <v>35</v>
      </c>
    </row>
    <row r="911" spans="1:4" x14ac:dyDescent="0.25">
      <c r="A911" t="str">
        <f>"NAH-12NW7"</f>
        <v>NAH-12NW7</v>
      </c>
      <c r="B911" t="str">
        <f>"NAH Lichtleiste 12W,  4000K, 854mm"</f>
        <v>NAH Lichtleiste 12W,  4000K, 854mm</v>
      </c>
      <c r="C911" t="str">
        <f t="shared" si="43"/>
        <v>101</v>
      </c>
      <c r="D911" s="1">
        <v>44</v>
      </c>
    </row>
    <row r="912" spans="1:4" x14ac:dyDescent="0.25">
      <c r="A912" t="str">
        <f>"NAH-12WW7"</f>
        <v>NAH-12WW7</v>
      </c>
      <c r="B912" t="str">
        <f>"NAH Lichtleiste 12W,  3000K, 854mm"</f>
        <v>NAH Lichtleiste 12W,  3000K, 854mm</v>
      </c>
      <c r="C912" t="str">
        <f t="shared" si="43"/>
        <v>101</v>
      </c>
      <c r="D912" s="1">
        <v>44</v>
      </c>
    </row>
    <row r="913" spans="1:4" x14ac:dyDescent="0.25">
      <c r="A913" t="str">
        <f>"NAH-4NW7"</f>
        <v>NAH-4NW7</v>
      </c>
      <c r="B913" t="str">
        <f>"NAH Lichtleiste 4W,  4000K, 294mm"</f>
        <v>NAH Lichtleiste 4W,  4000K, 294mm</v>
      </c>
      <c r="C913" t="str">
        <f t="shared" si="43"/>
        <v>101</v>
      </c>
      <c r="D913" s="1">
        <v>20</v>
      </c>
    </row>
    <row r="914" spans="1:4" x14ac:dyDescent="0.25">
      <c r="A914" t="str">
        <f>"NAH-4WW7"</f>
        <v>NAH-4WW7</v>
      </c>
      <c r="B914" t="str">
        <f>"NAH Lichtleiste 4W, 3000K, 294mm"</f>
        <v>NAH Lichtleiste 4W, 3000K, 294mm</v>
      </c>
      <c r="C914" t="str">
        <f t="shared" si="43"/>
        <v>101</v>
      </c>
      <c r="D914" s="1">
        <v>20</v>
      </c>
    </row>
    <row r="915" spans="1:4" x14ac:dyDescent="0.25">
      <c r="A915" t="str">
        <f>"NAH-8NW7"</f>
        <v>NAH-8NW7</v>
      </c>
      <c r="B915" t="str">
        <f>"NAH Lichtleiste, 8W,  4000K, 574mm"</f>
        <v>NAH Lichtleiste, 8W,  4000K, 574mm</v>
      </c>
      <c r="C915" t="str">
        <f t="shared" si="43"/>
        <v>101</v>
      </c>
      <c r="D915" s="1">
        <v>31</v>
      </c>
    </row>
    <row r="916" spans="1:4" x14ac:dyDescent="0.25">
      <c r="A916" t="str">
        <f>"NAH-8WW7"</f>
        <v>NAH-8WW7</v>
      </c>
      <c r="B916" t="str">
        <f>"NAH Lichtleiste, 8W, 3000K, 574mm"</f>
        <v>NAH Lichtleiste, 8W, 3000K, 574mm</v>
      </c>
      <c r="C916" t="str">
        <f t="shared" si="43"/>
        <v>101</v>
      </c>
      <c r="D916" s="1">
        <v>31</v>
      </c>
    </row>
    <row r="917" spans="1:4" x14ac:dyDescent="0.25">
      <c r="A917" t="str">
        <f>"PACD-34NW7"</f>
        <v>PACD-34NW7</v>
      </c>
      <c r="B917" t="str">
        <f>"Feuchtraum-Wannenleuchte ECO IP65, LED 34W, L1220mm"</f>
        <v>Feuchtraum-Wannenleuchte ECO IP65, LED 34W, L1220mm</v>
      </c>
      <c r="C917" t="str">
        <f>"109"</f>
        <v>109</v>
      </c>
      <c r="D917" s="1">
        <v>80</v>
      </c>
    </row>
    <row r="918" spans="1:4" x14ac:dyDescent="0.25">
      <c r="A918" t="str">
        <f>"PACD-40NW7"</f>
        <v>PACD-40NW7</v>
      </c>
      <c r="B918" t="str">
        <f>"Feuchtraum-Wannenleuchte ECO IP65, LED 40W, L1520mm"</f>
        <v>Feuchtraum-Wannenleuchte ECO IP65, LED 40W, L1520mm</v>
      </c>
      <c r="C918" t="str">
        <f>"109"</f>
        <v>109</v>
      </c>
      <c r="D918" s="1">
        <v>95</v>
      </c>
    </row>
    <row r="919" spans="1:4" x14ac:dyDescent="0.25">
      <c r="A919" t="str">
        <f>"PASUP125A-GU10"</f>
        <v>PASUP125A-GU10</v>
      </c>
      <c r="B919" t="str">
        <f>"PAS UP Bodeneinbauleuchte GU10, 125x125mm, Abdeckung Edelstahl"</f>
        <v>PAS UP Bodeneinbauleuchte GU10, 125x125mm, Abdeckung Edelstahl</v>
      </c>
      <c r="C919" t="str">
        <f t="shared" ref="C919:C932" si="44">"207"</f>
        <v>207</v>
      </c>
      <c r="D919" s="1">
        <v>267</v>
      </c>
    </row>
    <row r="920" spans="1:4" x14ac:dyDescent="0.25">
      <c r="A920" t="str">
        <f>"PASUP125A-GU10-0"</f>
        <v>PASUP125A-GU10-0</v>
      </c>
      <c r="B920" t="str">
        <f>"PAS UP Bodeneinbauleuchte GU10, 125x125mm, komplett Edelstahl"</f>
        <v>PAS UP Bodeneinbauleuchte GU10, 125x125mm, komplett Edelstahl</v>
      </c>
      <c r="C920" t="str">
        <f t="shared" si="44"/>
        <v>207</v>
      </c>
      <c r="D920" s="1">
        <v>390</v>
      </c>
    </row>
    <row r="921" spans="1:4" x14ac:dyDescent="0.25">
      <c r="A921" t="str">
        <f>"PASUP125A-4NW-0"</f>
        <v>PASUP125A-4NW-0</v>
      </c>
      <c r="B921" t="str">
        <f>"PAS UP Bodeneinbauleuchte LED 4W, 4000K, 125x125mm, kpl. aus Edelstah"</f>
        <v>PAS UP Bodeneinbauleuchte LED 4W, 4000K, 125x125mm, kpl. aus Edelstah</v>
      </c>
      <c r="C921" t="str">
        <f t="shared" si="44"/>
        <v>207</v>
      </c>
      <c r="D921" s="1">
        <v>455</v>
      </c>
    </row>
    <row r="922" spans="1:4" x14ac:dyDescent="0.25">
      <c r="A922" t="str">
        <f>"PASUP125A-4WW-0"</f>
        <v>PASUP125A-4WW-0</v>
      </c>
      <c r="B922" t="str">
        <f>"PAS UP Bodeneinbauleuchte LED 4W, 3000K, 125x125mm, kpl. aus Edelstah"</f>
        <v>PAS UP Bodeneinbauleuchte LED 4W, 3000K, 125x125mm, kpl. aus Edelstah</v>
      </c>
      <c r="C922" t="str">
        <f t="shared" si="44"/>
        <v>207</v>
      </c>
      <c r="D922" s="1">
        <v>455</v>
      </c>
    </row>
    <row r="923" spans="1:4" x14ac:dyDescent="0.25">
      <c r="A923" t="str">
        <f>"PASUP125A-6NW"</f>
        <v>PASUP125A-6NW</v>
      </c>
      <c r="B923" t="str">
        <f>"PAS UP Bodeneinbauleuchte LED 6,5W, 4000K, 125x125mm, mit Treiber, Edelstahl"</f>
        <v>PAS UP Bodeneinbauleuchte LED 6,5W, 4000K, 125x125mm, mit Treiber, Edelstahl</v>
      </c>
      <c r="C923" t="str">
        <f t="shared" si="44"/>
        <v>207</v>
      </c>
      <c r="D923" s="1">
        <v>334</v>
      </c>
    </row>
    <row r="924" spans="1:4" x14ac:dyDescent="0.25">
      <c r="A924" t="str">
        <f>"PASUP125A-6WW"</f>
        <v>PASUP125A-6WW</v>
      </c>
      <c r="B924" t="str">
        <f>"PAS UP Bodeneinbauleuchte LED 6,5W, 3000K, 125x125mm, mit Treiber, Edelstahl"</f>
        <v>PAS UP Bodeneinbauleuchte LED 6,5W, 3000K, 125x125mm, mit Treiber, Edelstahl</v>
      </c>
      <c r="C924" t="str">
        <f t="shared" si="44"/>
        <v>207</v>
      </c>
      <c r="D924" s="1">
        <v>334</v>
      </c>
    </row>
    <row r="925" spans="1:4" x14ac:dyDescent="0.25">
      <c r="A925" t="str">
        <f>"PASUP125-GU10-7"</f>
        <v>PASUP125-GU10-7</v>
      </c>
      <c r="B925" t="str">
        <f>"PAS UP Bodeneinbauleuchte GU10, Ø125mm, Abdeckung Alu"</f>
        <v>PAS UP Bodeneinbauleuchte GU10, Ø125mm, Abdeckung Alu</v>
      </c>
      <c r="C925" t="str">
        <f t="shared" si="44"/>
        <v>207</v>
      </c>
      <c r="D925" s="1">
        <v>228</v>
      </c>
    </row>
    <row r="926" spans="1:4" x14ac:dyDescent="0.25">
      <c r="A926" t="str">
        <f>"PASUP125-GU10-7-0"</f>
        <v>PASUP125-GU10-7-0</v>
      </c>
      <c r="B926" t="str">
        <f>"PAS UP Bodeneinbauleuchte GU10, Ø125mm, Gehäuse Edelstahl, Abdeckung Alu"</f>
        <v>PAS UP Bodeneinbauleuchte GU10, Ø125mm, Gehäuse Edelstahl, Abdeckung Alu</v>
      </c>
      <c r="C926" t="str">
        <f t="shared" si="44"/>
        <v>207</v>
      </c>
      <c r="D926" s="1">
        <v>351</v>
      </c>
    </row>
    <row r="927" spans="1:4" x14ac:dyDescent="0.25">
      <c r="A927" t="str">
        <f>"PASUP125R-GU10"</f>
        <v>PASUP125R-GU10</v>
      </c>
      <c r="B927" t="str">
        <f>"PAS UP Bodeneinbauleuchte GU10, Ø125mm, Abdeckung Edelstahl"</f>
        <v>PAS UP Bodeneinbauleuchte GU10, Ø125mm, Abdeckung Edelstahl</v>
      </c>
      <c r="C927" t="str">
        <f t="shared" si="44"/>
        <v>207</v>
      </c>
      <c r="D927" s="1">
        <v>264</v>
      </c>
    </row>
    <row r="928" spans="1:4" x14ac:dyDescent="0.25">
      <c r="A928" t="str">
        <f>"PASUP125R-GU10-0"</f>
        <v>PASUP125R-GU10-0</v>
      </c>
      <c r="B928" t="str">
        <f>"PAS UP Bodeneinbauleuchte GU10, Ø125mm, komplett Edelstahl"</f>
        <v>PAS UP Bodeneinbauleuchte GU10, Ø125mm, komplett Edelstahl</v>
      </c>
      <c r="C928" t="str">
        <f t="shared" si="44"/>
        <v>207</v>
      </c>
      <c r="D928" s="1">
        <v>386</v>
      </c>
    </row>
    <row r="929" spans="1:4" x14ac:dyDescent="0.25">
      <c r="A929" t="str">
        <f>"PASUP125R-4NW-0"</f>
        <v>PASUP125R-4NW-0</v>
      </c>
      <c r="B929" t="str">
        <f>"PAS UP Bodeneinbauleuchte LED 4W, 4000K, Ø125 mm, kpl. aus Edelstahl"</f>
        <v>PAS UP Bodeneinbauleuchte LED 4W, 4000K, Ø125 mm, kpl. aus Edelstahl</v>
      </c>
      <c r="C929" t="str">
        <f t="shared" si="44"/>
        <v>207</v>
      </c>
      <c r="D929" s="1">
        <v>452</v>
      </c>
    </row>
    <row r="930" spans="1:4" x14ac:dyDescent="0.25">
      <c r="A930" t="str">
        <f>"PASUP125R-4WW-0"</f>
        <v>PASUP125R-4WW-0</v>
      </c>
      <c r="B930" t="str">
        <f>"PAS UP Bodeneinbauleuchte LED 4W, 3000K, Ø125 mm, kpl. aus Edelstahl"</f>
        <v>PAS UP Bodeneinbauleuchte LED 4W, 3000K, Ø125 mm, kpl. aus Edelstahl</v>
      </c>
      <c r="C930" t="str">
        <f t="shared" si="44"/>
        <v>207</v>
      </c>
      <c r="D930" s="1">
        <v>452</v>
      </c>
    </row>
    <row r="931" spans="1:4" x14ac:dyDescent="0.25">
      <c r="A931" t="str">
        <f>"PASUP125R-6NW"</f>
        <v>PASUP125R-6NW</v>
      </c>
      <c r="B931" t="str">
        <f>"PAS UP Bodeneinbauleuchte LED 6,5W 4000K Ø125mm, m. Treiber, Abdeckung Edelstahl"</f>
        <v>PAS UP Bodeneinbauleuchte LED 6,5W 4000K Ø125mm, m. Treiber, Abdeckung Edelstahl</v>
      </c>
      <c r="C931" t="str">
        <f t="shared" si="44"/>
        <v>207</v>
      </c>
      <c r="D931" s="1">
        <v>331</v>
      </c>
    </row>
    <row r="932" spans="1:4" x14ac:dyDescent="0.25">
      <c r="A932" t="str">
        <f>"PASUP125R-6WW"</f>
        <v>PASUP125R-6WW</v>
      </c>
      <c r="B932" t="str">
        <f>"PAS UP Bodeneinbauleuchte LED 6,5W 3000K Ø125mm, m. Treiber, Abdeckung Edelstahl"</f>
        <v>PAS UP Bodeneinbauleuchte LED 6,5W 3000K Ø125mm, m. Treiber, Abdeckung Edelstahl</v>
      </c>
      <c r="C932" t="str">
        <f t="shared" si="44"/>
        <v>207</v>
      </c>
      <c r="D932" s="1">
        <v>331</v>
      </c>
    </row>
    <row r="933" spans="1:4" x14ac:dyDescent="0.25">
      <c r="A933" t="str">
        <f>"PASUP125UFA-8NW"</f>
        <v>PASUP125UFA-8NW</v>
      </c>
      <c r="B933" t="str">
        <f>"PASUltraFlat Bodeneinbauleuchte LED 8W, 4000K, 125x125mm, mit Treiber, Edelstahl"</f>
        <v>PASUltraFlat Bodeneinbauleuchte LED 8W, 4000K, 125x125mm, mit Treiber, Edelstahl</v>
      </c>
      <c r="C933" t="str">
        <f t="shared" ref="C933:C938" si="45">"208"</f>
        <v>208</v>
      </c>
      <c r="D933" s="1">
        <v>270</v>
      </c>
    </row>
    <row r="934" spans="1:4" x14ac:dyDescent="0.25">
      <c r="A934" t="str">
        <f>"PASUP125UFA-8WW"</f>
        <v>PASUP125UFA-8WW</v>
      </c>
      <c r="B934" t="str">
        <f>"PASUltraFlat Bodeneinbauleuchte LED 8W, 3000K, 125x125mm, mit Treiber, Edelstahl"</f>
        <v>PASUltraFlat Bodeneinbauleuchte LED 8W, 3000K, 125x125mm, mit Treiber, Edelstahl</v>
      </c>
      <c r="C934" t="str">
        <f t="shared" si="45"/>
        <v>208</v>
      </c>
      <c r="D934" s="1">
        <v>270</v>
      </c>
    </row>
    <row r="935" spans="1:4" x14ac:dyDescent="0.25">
      <c r="A935" t="str">
        <f>"PASUP125UFR-8NW"</f>
        <v>PASUP125UFR-8NW</v>
      </c>
      <c r="B935" t="str">
        <f>"PASUltraFlat Bodeneinbauleuchte LED 8W, 4000K, Ø125mm, mit Treiber, Edelstahl"</f>
        <v>PASUltraFlat Bodeneinbauleuchte LED 8W, 4000K, Ø125mm, mit Treiber, Edelstahl</v>
      </c>
      <c r="C935" t="str">
        <f t="shared" si="45"/>
        <v>208</v>
      </c>
      <c r="D935" s="1">
        <v>267</v>
      </c>
    </row>
    <row r="936" spans="1:4" x14ac:dyDescent="0.25">
      <c r="A936" t="str">
        <f>"PASUP125UFR-8WW"</f>
        <v>PASUP125UFR-8WW</v>
      </c>
      <c r="B936" t="str">
        <f>"PASUltraFlat Bodeneinbauleuchte LED 8W, 3000K, Ø125mm, mit Treiber, Edelstahl"</f>
        <v>PASUltraFlat Bodeneinbauleuchte LED 8W, 3000K, Ø125mm, mit Treiber, Edelstahl</v>
      </c>
      <c r="C936" t="str">
        <f t="shared" si="45"/>
        <v>208</v>
      </c>
      <c r="D936" s="1">
        <v>267</v>
      </c>
    </row>
    <row r="937" spans="1:4" x14ac:dyDescent="0.25">
      <c r="A937" t="str">
        <f>"PASUP125UF-8NW7"</f>
        <v>PASUP125UF-8NW7</v>
      </c>
      <c r="B937" t="str">
        <f>"PAS UltraFlat Bodeneinbauleuchte LED 8W, 4000K, Ø125mm, mit Treiber, Alu "</f>
        <v xml:space="preserve">PAS UltraFlat Bodeneinbauleuchte LED 8W, 4000K, Ø125mm, mit Treiber, Alu </v>
      </c>
      <c r="C937" t="str">
        <f t="shared" si="45"/>
        <v>208</v>
      </c>
      <c r="D937" s="1">
        <v>232</v>
      </c>
    </row>
    <row r="938" spans="1:4" x14ac:dyDescent="0.25">
      <c r="A938" t="str">
        <f>"PASUP125UF-8WW7"</f>
        <v>PASUP125UF-8WW7</v>
      </c>
      <c r="B938" t="str">
        <f>"PAS UltraFlat Bodeneinbauleuchte LED 8W, 3000K, Ø125mm, mit Treiber, Alu"</f>
        <v>PAS UltraFlat Bodeneinbauleuchte LED 8W, 3000K, Ø125mm, mit Treiber, Alu</v>
      </c>
      <c r="C938" t="str">
        <f t="shared" si="45"/>
        <v>208</v>
      </c>
      <c r="D938" s="1">
        <v>232</v>
      </c>
    </row>
    <row r="939" spans="1:4" x14ac:dyDescent="0.25">
      <c r="A939" t="str">
        <f>"PASUP125-4NW7-0"</f>
        <v>PASUP125-4NW7-0</v>
      </c>
      <c r="B939" t="str">
        <f>"PASUP Bodeneinbauleuchte LED 4W, 4000K, Ø125mm, Gehäuse Edelstahl, Abdeckung Alu"</f>
        <v>PASUP Bodeneinbauleuchte LED 4W, 4000K, Ø125mm, Gehäuse Edelstahl, Abdeckung Alu</v>
      </c>
      <c r="C939" t="str">
        <f>"207"</f>
        <v>207</v>
      </c>
      <c r="D939" s="1">
        <v>417</v>
      </c>
    </row>
    <row r="940" spans="1:4" x14ac:dyDescent="0.25">
      <c r="A940" t="str">
        <f>"PASUP125-4WW7-0"</f>
        <v>PASUP125-4WW7-0</v>
      </c>
      <c r="B940" t="str">
        <f>"PASUP Bodeneinbauleuchte LED 4W, 3000K, Ø125mm, Gehäuse Edelstahl, Abdeckung Alu"</f>
        <v>PASUP Bodeneinbauleuchte LED 4W, 3000K, Ø125mm, Gehäuse Edelstahl, Abdeckung Alu</v>
      </c>
      <c r="C940" t="str">
        <f>"207"</f>
        <v>207</v>
      </c>
      <c r="D940" s="1">
        <v>417</v>
      </c>
    </row>
    <row r="941" spans="1:4" x14ac:dyDescent="0.25">
      <c r="A941" t="str">
        <f>"PASUP125-6NW7"</f>
        <v>PASUP125-6NW7</v>
      </c>
      <c r="B941" t="str">
        <f>"PAS UP Bodeneinbauleuchte LED 6,5W, 4000K, Ø125mm, mit Treiber, Alu, metallgrau"</f>
        <v>PAS UP Bodeneinbauleuchte LED 6,5W, 4000K, Ø125mm, mit Treiber, Alu, metallgrau</v>
      </c>
      <c r="C941" t="str">
        <f>"207"</f>
        <v>207</v>
      </c>
      <c r="D941" s="1">
        <v>296</v>
      </c>
    </row>
    <row r="942" spans="1:4" x14ac:dyDescent="0.25">
      <c r="A942" t="str">
        <f>"PASUP125-6WW7"</f>
        <v>PASUP125-6WW7</v>
      </c>
      <c r="B942" t="str">
        <f>"PAS UP Bodeneinbauleuchte LED 6,5W, 3000K, Ø125mm, mit Treiber, Alu, metallgrau"</f>
        <v>PAS UP Bodeneinbauleuchte LED 6,5W, 3000K, Ø125mm, mit Treiber, Alu, metallgrau</v>
      </c>
      <c r="C942" t="str">
        <f>"207"</f>
        <v>207</v>
      </c>
      <c r="D942" s="1">
        <v>296</v>
      </c>
    </row>
    <row r="943" spans="1:4" x14ac:dyDescent="0.25">
      <c r="A943" t="str">
        <f>"PASUP180A-GU10"</f>
        <v>PASUP180A-GU10</v>
      </c>
      <c r="B943" t="str">
        <f>"PAS UP Bodeneinbauleuchte GU10, 180x180mm, Abdeckung Edelstahl"</f>
        <v>PAS UP Bodeneinbauleuchte GU10, 180x180mm, Abdeckung Edelstahl</v>
      </c>
      <c r="C943" t="str">
        <f t="shared" ref="C943:C970" si="46">"209"</f>
        <v>209</v>
      </c>
      <c r="D943" s="1">
        <v>333</v>
      </c>
    </row>
    <row r="944" spans="1:4" x14ac:dyDescent="0.25">
      <c r="A944" t="str">
        <f>"PASUP180A-GU10-0"</f>
        <v>PASUP180A-GU10-0</v>
      </c>
      <c r="B944" t="str">
        <f>"PAS UP Bodeneinbauleuchte GU10, 180x180mm, komplett Edelstahl"</f>
        <v>PAS UP Bodeneinbauleuchte GU10, 180x180mm, komplett Edelstahl</v>
      </c>
      <c r="C944" t="str">
        <f t="shared" si="46"/>
        <v>209</v>
      </c>
      <c r="D944" s="1">
        <v>455</v>
      </c>
    </row>
    <row r="945" spans="1:4" x14ac:dyDescent="0.25">
      <c r="A945" t="str">
        <f>"PASUP180A-15NW"</f>
        <v>PASUP180A-15NW</v>
      </c>
      <c r="B945" t="str">
        <f>"PAS UP Bodeneinbauleuchte LED 15W 4000K 180x180mm m.Treiber Abdeckung Edelstahl"</f>
        <v>PAS UP Bodeneinbauleuchte LED 15W 4000K 180x180mm m.Treiber Abdeckung Edelstahl</v>
      </c>
      <c r="C945" t="str">
        <f t="shared" si="46"/>
        <v>209</v>
      </c>
      <c r="D945" s="1">
        <v>440</v>
      </c>
    </row>
    <row r="946" spans="1:4" x14ac:dyDescent="0.25">
      <c r="A946" t="str">
        <f>"PASUP180A-15WW"</f>
        <v>PASUP180A-15WW</v>
      </c>
      <c r="B946" t="str">
        <f>"PAS UP Bodeneinbauleuchte LED 15W 3000K 180x180mm m.Treiber Abdeckung Edelstahl"</f>
        <v>PAS UP Bodeneinbauleuchte LED 15W 3000K 180x180mm m.Treiber Abdeckung Edelstahl</v>
      </c>
      <c r="C946" t="str">
        <f t="shared" si="46"/>
        <v>209</v>
      </c>
      <c r="D946" s="1">
        <v>440</v>
      </c>
    </row>
    <row r="947" spans="1:4" x14ac:dyDescent="0.25">
      <c r="A947" t="str">
        <f>"PASUP180A-9NW"</f>
        <v>PASUP180A-9NW</v>
      </c>
      <c r="B947" t="str">
        <f>"PAS UP Bodeneinbauleuchte LED 9,5W 4000K 180x180mm m.Treiber Abdeckung Edelstahl"</f>
        <v>PAS UP Bodeneinbauleuchte LED 9,5W 4000K 180x180mm m.Treiber Abdeckung Edelstahl</v>
      </c>
      <c r="C947" t="str">
        <f t="shared" si="46"/>
        <v>209</v>
      </c>
      <c r="D947" s="1">
        <v>397</v>
      </c>
    </row>
    <row r="948" spans="1:4" x14ac:dyDescent="0.25">
      <c r="A948" t="str">
        <f>"PASUP180A-9NW-0"</f>
        <v>PASUP180A-9NW-0</v>
      </c>
      <c r="B948" t="str">
        <f>"PAS UP Bodeneinbauleuchte LED 9,5W 4000K, 180x180mm, kpl. aus Edelstahl"</f>
        <v>PAS UP Bodeneinbauleuchte LED 9,5W 4000K, 180x180mm, kpl. aus Edelstahl</v>
      </c>
      <c r="C948" t="str">
        <f t="shared" si="46"/>
        <v>209</v>
      </c>
      <c r="D948" s="1">
        <v>517</v>
      </c>
    </row>
    <row r="949" spans="1:4" x14ac:dyDescent="0.25">
      <c r="A949" t="str">
        <f>"PASUP180A-9WW"</f>
        <v>PASUP180A-9WW</v>
      </c>
      <c r="B949" t="str">
        <f>"PAS UP Bodeneinbauleuchte LED 9,5W 3000K 180x180mm m.Treiber Abdeckung Edelstahl"</f>
        <v>PAS UP Bodeneinbauleuchte LED 9,5W 3000K 180x180mm m.Treiber Abdeckung Edelstahl</v>
      </c>
      <c r="C949" t="str">
        <f t="shared" si="46"/>
        <v>209</v>
      </c>
      <c r="D949" s="1">
        <v>397</v>
      </c>
    </row>
    <row r="950" spans="1:4" x14ac:dyDescent="0.25">
      <c r="A950" t="str">
        <f>"PASUP180A-9WW-0"</f>
        <v>PASUP180A-9WW-0</v>
      </c>
      <c r="B950" t="str">
        <f>"PAS UP Bodeneinbauleuchte LED 9,5W 3000K, 180x180mm, kpl. aus Edelstahl"</f>
        <v>PAS UP Bodeneinbauleuchte LED 9,5W 3000K, 180x180mm, kpl. aus Edelstahl</v>
      </c>
      <c r="C950" t="str">
        <f t="shared" si="46"/>
        <v>209</v>
      </c>
      <c r="D950" s="1">
        <v>517</v>
      </c>
    </row>
    <row r="951" spans="1:4" x14ac:dyDescent="0.25">
      <c r="A951" t="str">
        <f>"PASUP180-GU10-7"</f>
        <v>PASUP180-GU10-7</v>
      </c>
      <c r="B951" t="str">
        <f>"PAS UP Bodeneinbauleuchte GU10, Ø180mm, Abdeckung Alu"</f>
        <v>PAS UP Bodeneinbauleuchte GU10, Ø180mm, Abdeckung Alu</v>
      </c>
      <c r="C951" t="str">
        <f t="shared" si="46"/>
        <v>209</v>
      </c>
      <c r="D951" s="1">
        <v>279</v>
      </c>
    </row>
    <row r="952" spans="1:4" x14ac:dyDescent="0.25">
      <c r="A952" t="str">
        <f>"PASUP180-GU10-7-0"</f>
        <v>PASUP180-GU10-7-0</v>
      </c>
      <c r="B952" t="str">
        <f>"PAS UP Bodeneinbauleuchte GU10, Ø180mm, Gehäuse Edelstahl, Abdeckung Alu"</f>
        <v>PAS UP Bodeneinbauleuchte GU10, Ø180mm, Gehäuse Edelstahl, Abdeckung Alu</v>
      </c>
      <c r="C952" t="str">
        <f t="shared" si="46"/>
        <v>209</v>
      </c>
      <c r="D952" s="1">
        <v>402</v>
      </c>
    </row>
    <row r="953" spans="1:4" x14ac:dyDescent="0.25">
      <c r="A953" t="str">
        <f>"PASUP180R-GU10"</f>
        <v>PASUP180R-GU10</v>
      </c>
      <c r="B953" t="str">
        <f>"PAS UP Bodeneinbauleuchte GU10, Ø180mm, Abdeckung Edelstahl"</f>
        <v>PAS UP Bodeneinbauleuchte GU10, Ø180mm, Abdeckung Edelstahl</v>
      </c>
      <c r="C953" t="str">
        <f t="shared" si="46"/>
        <v>209</v>
      </c>
      <c r="D953" s="1">
        <v>330</v>
      </c>
    </row>
    <row r="954" spans="1:4" x14ac:dyDescent="0.25">
      <c r="A954" t="str">
        <f>"PASUP180R-GU10-0"</f>
        <v>PASUP180R-GU10-0</v>
      </c>
      <c r="B954" t="str">
        <f>"PAS UP Bodeneinbauleuchte GU10, Ø180mm, komplett Edelstahl"</f>
        <v>PAS UP Bodeneinbauleuchte GU10, Ø180mm, komplett Edelstahl</v>
      </c>
      <c r="C954" t="str">
        <f t="shared" si="46"/>
        <v>209</v>
      </c>
      <c r="D954" s="1">
        <v>452</v>
      </c>
    </row>
    <row r="955" spans="1:4" x14ac:dyDescent="0.25">
      <c r="A955" t="str">
        <f>"PASUP180R-15NW"</f>
        <v>PASUP180R-15NW</v>
      </c>
      <c r="B955" t="str">
        <f>"PAS UP Bodeneinbauleuchte LED 15W, 4000K, Ø180mm, mit Treiber, Edelstahl"</f>
        <v>PAS UP Bodeneinbauleuchte LED 15W, 4000K, Ø180mm, mit Treiber, Edelstahl</v>
      </c>
      <c r="C955" t="str">
        <f t="shared" si="46"/>
        <v>209</v>
      </c>
      <c r="D955" s="1">
        <v>437</v>
      </c>
    </row>
    <row r="956" spans="1:4" x14ac:dyDescent="0.25">
      <c r="A956" t="str">
        <f>"PASUP180R-15WW"</f>
        <v>PASUP180R-15WW</v>
      </c>
      <c r="B956" t="str">
        <f>"PAS UP Bodeneinbauleuchte LED 15W, 3000K, Ø180mm, mit Treiber, Edelstahl"</f>
        <v>PAS UP Bodeneinbauleuchte LED 15W, 3000K, Ø180mm, mit Treiber, Edelstahl</v>
      </c>
      <c r="C956" t="str">
        <f t="shared" si="46"/>
        <v>209</v>
      </c>
      <c r="D956" s="1">
        <v>437</v>
      </c>
    </row>
    <row r="957" spans="1:4" x14ac:dyDescent="0.25">
      <c r="A957" t="str">
        <f>"PASUP180R-9NW"</f>
        <v>PASUP180R-9NW</v>
      </c>
      <c r="B957" t="str">
        <f>"PAS UP Bodeneinbauleuchte LED 9,5W 4000K, Ø180mm, mit Treiber, Edelstahl"</f>
        <v>PAS UP Bodeneinbauleuchte LED 9,5W 4000K, Ø180mm, mit Treiber, Edelstahl</v>
      </c>
      <c r="C957" t="str">
        <f t="shared" si="46"/>
        <v>209</v>
      </c>
      <c r="D957" s="1">
        <v>394</v>
      </c>
    </row>
    <row r="958" spans="1:4" x14ac:dyDescent="0.25">
      <c r="A958" t="str">
        <f>"PASUP180R-9NW-0"</f>
        <v>PASUP180R-9NW-0</v>
      </c>
      <c r="B958" t="str">
        <f>"PAS UP Bodeneinbauleuchte LED 9,5W 4000K, Ø180mm, kpl. aus Edelstahl"</f>
        <v>PAS UP Bodeneinbauleuchte LED 9,5W 4000K, Ø180mm, kpl. aus Edelstahl</v>
      </c>
      <c r="C958" t="str">
        <f t="shared" si="46"/>
        <v>209</v>
      </c>
      <c r="D958" s="1">
        <v>514</v>
      </c>
    </row>
    <row r="959" spans="1:4" x14ac:dyDescent="0.25">
      <c r="A959" t="str">
        <f>"PASUP180R-9WW"</f>
        <v>PASUP180R-9WW</v>
      </c>
      <c r="B959" t="str">
        <f>"PAS UP Bodeneinbauleuchte LED 9,5W, 3000K, Ø180mm, mit Treiber, Edelstahl"</f>
        <v>PAS UP Bodeneinbauleuchte LED 9,5W, 3000K, Ø180mm, mit Treiber, Edelstahl</v>
      </c>
      <c r="C959" t="str">
        <f t="shared" si="46"/>
        <v>209</v>
      </c>
      <c r="D959" s="1">
        <v>394</v>
      </c>
    </row>
    <row r="960" spans="1:4" x14ac:dyDescent="0.25">
      <c r="A960" t="str">
        <f>"PASUP180R-9WW-0"</f>
        <v>PASUP180R-9WW-0</v>
      </c>
      <c r="B960" t="str">
        <f>"PAS UP Bodeneinbauleuchte LED 9,5W 3000K, Ø180mm, kpl. aus Edelstahl"</f>
        <v>PAS UP Bodeneinbauleuchte LED 9,5W 3000K, Ø180mm, kpl. aus Edelstahl</v>
      </c>
      <c r="C960" t="str">
        <f t="shared" si="46"/>
        <v>209</v>
      </c>
      <c r="D960" s="1">
        <v>514</v>
      </c>
    </row>
    <row r="961" spans="1:4" x14ac:dyDescent="0.25">
      <c r="A961" t="str">
        <f>"PASUP180-15NW7"</f>
        <v>PASUP180-15NW7</v>
      </c>
      <c r="B961" t="str">
        <f>"PAS UP Bodeneinbauleuchte LED 15W 4000K, Ø180mm, mit Treiber, Alu metallgrau"</f>
        <v>PAS UP Bodeneinbauleuchte LED 15W 4000K, Ø180mm, mit Treiber, Alu metallgrau</v>
      </c>
      <c r="C961" t="str">
        <f t="shared" si="46"/>
        <v>209</v>
      </c>
      <c r="D961" s="1">
        <v>386</v>
      </c>
    </row>
    <row r="962" spans="1:4" x14ac:dyDescent="0.25">
      <c r="A962" t="str">
        <f>"PASUP180-15WW7"</f>
        <v>PASUP180-15WW7</v>
      </c>
      <c r="B962" t="str">
        <f>"PAS UP Bodeneinbauleuchte LED 15W 3000K, Ø180mm, mit Treiber, Alu metallgrau"</f>
        <v>PAS UP Bodeneinbauleuchte LED 15W 3000K, Ø180mm, mit Treiber, Alu metallgrau</v>
      </c>
      <c r="C962" t="str">
        <f t="shared" si="46"/>
        <v>209</v>
      </c>
      <c r="D962" s="1">
        <v>386</v>
      </c>
    </row>
    <row r="963" spans="1:4" x14ac:dyDescent="0.25">
      <c r="A963" t="str">
        <f>"PASUP180-9NW7"</f>
        <v>PASUP180-9NW7</v>
      </c>
      <c r="B963" t="str">
        <f>"PAS UP Bodeneinbauleuchte LED 9,5W 4000K, Ø180mm, mit Treiber, Alu metallgrau"</f>
        <v>PAS UP Bodeneinbauleuchte LED 9,5W 4000K, Ø180mm, mit Treiber, Alu metallgrau</v>
      </c>
      <c r="C963" t="str">
        <f t="shared" si="46"/>
        <v>209</v>
      </c>
      <c r="D963" s="1">
        <v>343</v>
      </c>
    </row>
    <row r="964" spans="1:4" x14ac:dyDescent="0.25">
      <c r="A964" t="str">
        <f>"PASUP180-9NW7-0"</f>
        <v>PASUP180-9NW7-0</v>
      </c>
      <c r="B964" t="str">
        <f>"PASUP Bodeneinbauleuchte LED 9,5W 4000K Ø180mm, Gehäuse Edelstahl, Abdeckung Alu"</f>
        <v>PASUP Bodeneinbauleuchte LED 9,5W 4000K Ø180mm, Gehäuse Edelstahl, Abdeckung Alu</v>
      </c>
      <c r="C964" t="str">
        <f t="shared" si="46"/>
        <v>209</v>
      </c>
      <c r="D964" s="1">
        <v>462.5</v>
      </c>
    </row>
    <row r="965" spans="1:4" x14ac:dyDescent="0.25">
      <c r="A965" t="str">
        <f>"PASUP180-9WW7"</f>
        <v>PASUP180-9WW7</v>
      </c>
      <c r="B965" t="str">
        <f>"PAS UP Bodeneinbauleuchte LED 9,5W, 3000K, Ø180mm, mit Treiber, Alu metallgrau"</f>
        <v>PAS UP Bodeneinbauleuchte LED 9,5W, 3000K, Ø180mm, mit Treiber, Alu metallgrau</v>
      </c>
      <c r="C965" t="str">
        <f t="shared" si="46"/>
        <v>209</v>
      </c>
      <c r="D965" s="1">
        <v>343</v>
      </c>
    </row>
    <row r="966" spans="1:4" x14ac:dyDescent="0.25">
      <c r="A966" t="str">
        <f>"PASUP180-9WW7-0"</f>
        <v>PASUP180-9WW7-0</v>
      </c>
      <c r="B966" t="str">
        <f>"PASUP Bodeneinbauleuchte LED 9,5W 3000K Ø180mm, Gehäuse Edelstahl, Abdeckung Alu"</f>
        <v>PASUP Bodeneinbauleuchte LED 9,5W 3000K Ø180mm, Gehäuse Edelstahl, Abdeckung Alu</v>
      </c>
      <c r="C966" t="str">
        <f t="shared" si="46"/>
        <v>209</v>
      </c>
      <c r="D966" s="1">
        <v>462.5</v>
      </c>
    </row>
    <row r="967" spans="1:4" x14ac:dyDescent="0.25">
      <c r="A967" t="str">
        <f>"PASUP245R-29NW"</f>
        <v>PASUP245R-29NW</v>
      </c>
      <c r="B967" t="str">
        <f>"PAS UP Bodeneinbauleuchte LED 29W Ø245mm, 4000K, mit Treiber, Edelstahl"</f>
        <v>PAS UP Bodeneinbauleuchte LED 29W Ø245mm, 4000K, mit Treiber, Edelstahl</v>
      </c>
      <c r="C967" t="str">
        <f t="shared" si="46"/>
        <v>209</v>
      </c>
      <c r="D967" s="1">
        <v>645</v>
      </c>
    </row>
    <row r="968" spans="1:4" x14ac:dyDescent="0.25">
      <c r="A968" t="str">
        <f>"PASUP245R-29WW"</f>
        <v>PASUP245R-29WW</v>
      </c>
      <c r="B968" t="str">
        <f>"PAS UP Bodeneinbauleuchte LED 29W, Ø245mm, 3000K, mit Treiber, Edelstahl"</f>
        <v>PAS UP Bodeneinbauleuchte LED 29W, Ø245mm, 3000K, mit Treiber, Edelstahl</v>
      </c>
      <c r="C968" t="str">
        <f t="shared" si="46"/>
        <v>209</v>
      </c>
      <c r="D968" s="1">
        <v>645</v>
      </c>
    </row>
    <row r="969" spans="1:4" x14ac:dyDescent="0.25">
      <c r="A969" t="str">
        <f>"PASUP245-29NW7"</f>
        <v>PASUP245-29NW7</v>
      </c>
      <c r="B969" t="str">
        <f>"PAS UP Bodeneinbauleuchte LED 29W Ø245mm, 4000K, mit Treiber, Alu, metallgrau"</f>
        <v>PAS UP Bodeneinbauleuchte LED 29W Ø245mm, 4000K, mit Treiber, Alu, metallgrau</v>
      </c>
      <c r="C969" t="str">
        <f t="shared" si="46"/>
        <v>209</v>
      </c>
      <c r="D969" s="1">
        <v>579</v>
      </c>
    </row>
    <row r="970" spans="1:4" x14ac:dyDescent="0.25">
      <c r="A970" t="str">
        <f>"PASUP245-29WW7"</f>
        <v>PASUP245-29WW7</v>
      </c>
      <c r="B970" t="str">
        <f>"PAS UP Bodeneinbauleuchte LED 29W Ø245mm, 3000K, mit Treiber, Alu, metallgrau"</f>
        <v>PAS UP Bodeneinbauleuchte LED 29W Ø245mm, 3000K, mit Treiber, Alu, metallgrau</v>
      </c>
      <c r="C970" t="str">
        <f t="shared" si="46"/>
        <v>209</v>
      </c>
      <c r="D970" s="1">
        <v>579</v>
      </c>
    </row>
    <row r="971" spans="1:4" x14ac:dyDescent="0.25">
      <c r="A971" t="str">
        <f>"PASUP70A-1NW"</f>
        <v>PASUP70A-1NW</v>
      </c>
      <c r="B971" t="str">
        <f>"PAS UP Bodeneinbauleuchte LED 1W, 4000K 70x70mm Gehäuse Alu, Abdeckung Edelstahl"</f>
        <v>PAS UP Bodeneinbauleuchte LED 1W, 4000K 70x70mm Gehäuse Alu, Abdeckung Edelstahl</v>
      </c>
      <c r="C971" t="str">
        <f t="shared" ref="C971:C994" si="47">"207"</f>
        <v>207</v>
      </c>
      <c r="D971" s="1">
        <v>226</v>
      </c>
    </row>
    <row r="972" spans="1:4" x14ac:dyDescent="0.25">
      <c r="A972" t="str">
        <f>"PASUP70A-1NW-0"</f>
        <v>PASUP70A-1NW-0</v>
      </c>
      <c r="B972" t="str">
        <f>"PAS UP Bodeneinbauleuchte LED 1W, 4000K, 70x70mm, kpl. aus Edelstahl"</f>
        <v>PAS UP Bodeneinbauleuchte LED 1W, 4000K, 70x70mm, kpl. aus Edelstahl</v>
      </c>
      <c r="C972" t="str">
        <f t="shared" si="47"/>
        <v>207</v>
      </c>
      <c r="D972" s="1">
        <v>315</v>
      </c>
    </row>
    <row r="973" spans="1:4" x14ac:dyDescent="0.25">
      <c r="A973" t="str">
        <f>"PASUP70A-1WW"</f>
        <v>PASUP70A-1WW</v>
      </c>
      <c r="B973" t="str">
        <f>"PAS UP Bodeneinbauleuchte LED 1W, 3000K 70x70mm Gehäuse Alu, Abdeckung Edelstahl"</f>
        <v>PAS UP Bodeneinbauleuchte LED 1W, 3000K 70x70mm Gehäuse Alu, Abdeckung Edelstahl</v>
      </c>
      <c r="C973" t="str">
        <f t="shared" si="47"/>
        <v>207</v>
      </c>
      <c r="D973" s="1">
        <v>226</v>
      </c>
    </row>
    <row r="974" spans="1:4" x14ac:dyDescent="0.25">
      <c r="A974" t="str">
        <f>"PASUP70A-1WW-0"</f>
        <v>PASUP70A-1WW-0</v>
      </c>
      <c r="B974" t="str">
        <f>"PAS UP Bodeneinbauleuchte LED 1W, 3000K, 70x70mm, kpl. aus Edelstahl"</f>
        <v>PAS UP Bodeneinbauleuchte LED 1W, 3000K, 70x70mm, kpl. aus Edelstahl</v>
      </c>
      <c r="C974" t="str">
        <f t="shared" si="47"/>
        <v>207</v>
      </c>
      <c r="D974" s="1">
        <v>315</v>
      </c>
    </row>
    <row r="975" spans="1:4" x14ac:dyDescent="0.25">
      <c r="A975" t="str">
        <f>"PASUP70A-3NW"</f>
        <v>PASUP70A-3NW</v>
      </c>
      <c r="B975" t="str">
        <f>"PAS UP Bodeneinbauleuchte LED 3W, 4000K 70x70mm Gehäuse Alu, Abdeckung Edelstahl"</f>
        <v>PAS UP Bodeneinbauleuchte LED 3W, 4000K 70x70mm Gehäuse Alu, Abdeckung Edelstahl</v>
      </c>
      <c r="C975" t="str">
        <f t="shared" si="47"/>
        <v>207</v>
      </c>
      <c r="D975" s="1">
        <v>232</v>
      </c>
    </row>
    <row r="976" spans="1:4" x14ac:dyDescent="0.25">
      <c r="A976" t="str">
        <f>"PASUP70A-3NW-0"</f>
        <v>PASUP70A-3NW-0</v>
      </c>
      <c r="B976" t="str">
        <f>"PAS UP Bodeneinbauleuchte LED 3W, 4000K, 70x70mm, kpl. aus Edelstahl"</f>
        <v>PAS UP Bodeneinbauleuchte LED 3W, 4000K, 70x70mm, kpl. aus Edelstahl</v>
      </c>
      <c r="C976" t="str">
        <f t="shared" si="47"/>
        <v>207</v>
      </c>
      <c r="D976" s="1">
        <v>320</v>
      </c>
    </row>
    <row r="977" spans="1:4" x14ac:dyDescent="0.25">
      <c r="A977" t="str">
        <f>"PASUP70A-3WW"</f>
        <v>PASUP70A-3WW</v>
      </c>
      <c r="B977" t="str">
        <f>"PAS UP Bodeneinbauleuchte LED 3W 3000K, 70x70mm Gehäuse Alu, Abdeckung Edelstahl"</f>
        <v>PAS UP Bodeneinbauleuchte LED 3W 3000K, 70x70mm Gehäuse Alu, Abdeckung Edelstahl</v>
      </c>
      <c r="C977" t="str">
        <f t="shared" si="47"/>
        <v>207</v>
      </c>
      <c r="D977" s="1">
        <v>232</v>
      </c>
    </row>
    <row r="978" spans="1:4" x14ac:dyDescent="0.25">
      <c r="A978" t="str">
        <f>"PASUP70A-3WW-0"</f>
        <v>PASUP70A-3WW-0</v>
      </c>
      <c r="B978" t="str">
        <f>"PAS UP Bodeneinbauleuchte LED 3W, 3000K, 70x70mm, kpl. aus Edelstahl"</f>
        <v>PAS UP Bodeneinbauleuchte LED 3W, 3000K, 70x70mm, kpl. aus Edelstahl</v>
      </c>
      <c r="C978" t="str">
        <f t="shared" si="47"/>
        <v>207</v>
      </c>
      <c r="D978" s="1">
        <v>320</v>
      </c>
    </row>
    <row r="979" spans="1:4" x14ac:dyDescent="0.25">
      <c r="A979" t="str">
        <f>"PASUP70R-1NW"</f>
        <v>PASUP70R-1NW</v>
      </c>
      <c r="B979" t="str">
        <f>"PAS UP Bodeneinbauleuchte LED 1W, 4000K, Ø70mm, Gehäuse Alu, Abdeckung Edelstahl"</f>
        <v>PAS UP Bodeneinbauleuchte LED 1W, 4000K, Ø70mm, Gehäuse Alu, Abdeckung Edelstahl</v>
      </c>
      <c r="C979" t="str">
        <f t="shared" si="47"/>
        <v>207</v>
      </c>
      <c r="D979" s="1">
        <v>224</v>
      </c>
    </row>
    <row r="980" spans="1:4" x14ac:dyDescent="0.25">
      <c r="A980" t="str">
        <f>"PASUP70R-1NW-0"</f>
        <v>PASUP70R-1NW-0</v>
      </c>
      <c r="B980" t="str">
        <f>"PAS UP Bodeneinbauleuchte LED 1W, 4000K, Ø70mm, kpl. aus Edelstahl"</f>
        <v>PAS UP Bodeneinbauleuchte LED 1W, 4000K, Ø70mm, kpl. aus Edelstahl</v>
      </c>
      <c r="C980" t="str">
        <f t="shared" si="47"/>
        <v>207</v>
      </c>
      <c r="D980" s="1">
        <v>313</v>
      </c>
    </row>
    <row r="981" spans="1:4" x14ac:dyDescent="0.25">
      <c r="A981" t="str">
        <f>"PASUP70R-1WW"</f>
        <v>PASUP70R-1WW</v>
      </c>
      <c r="B981" t="str">
        <f>"PAS UP Bodeneinbauleuchte LED 1W, 3000K, Ø70mm, Gehäuse Alu, Abdeckung Edelstahl"</f>
        <v>PAS UP Bodeneinbauleuchte LED 1W, 3000K, Ø70mm, Gehäuse Alu, Abdeckung Edelstahl</v>
      </c>
      <c r="C981" t="str">
        <f t="shared" si="47"/>
        <v>207</v>
      </c>
      <c r="D981" s="1">
        <v>224</v>
      </c>
    </row>
    <row r="982" spans="1:4" x14ac:dyDescent="0.25">
      <c r="A982" t="str">
        <f>"PASUP70R-1WW-0"</f>
        <v>PASUP70R-1WW-0</v>
      </c>
      <c r="B982" t="str">
        <f>"PAS UP Bodeneinbauleuchte LED 1W, 3000K, Ø70mm, kpl. aus Edelstahl"</f>
        <v>PAS UP Bodeneinbauleuchte LED 1W, 3000K, Ø70mm, kpl. aus Edelstahl</v>
      </c>
      <c r="C982" t="str">
        <f t="shared" si="47"/>
        <v>207</v>
      </c>
      <c r="D982" s="1">
        <v>313</v>
      </c>
    </row>
    <row r="983" spans="1:4" x14ac:dyDescent="0.25">
      <c r="A983" t="str">
        <f>"PASUP70R-3NW"</f>
        <v>PASUP70R-3NW</v>
      </c>
      <c r="B983" t="str">
        <f>"PAS UP Bodeneinbauleuchte LED 3W, 4000K, Ø70mm Gehäuse Alu, Abdeckung Edelstahl"</f>
        <v>PAS UP Bodeneinbauleuchte LED 3W, 4000K, Ø70mm Gehäuse Alu, Abdeckung Edelstahl</v>
      </c>
      <c r="C983" t="str">
        <f t="shared" si="47"/>
        <v>207</v>
      </c>
      <c r="D983" s="1">
        <v>231</v>
      </c>
    </row>
    <row r="984" spans="1:4" x14ac:dyDescent="0.25">
      <c r="A984" t="str">
        <f>"PASUP70R-3NW-0"</f>
        <v>PASUP70R-3NW-0</v>
      </c>
      <c r="B984" t="str">
        <f>"PAS UP Bodeneinbauleuchte LED 3W, 4000K, Ø70mm, kpl. aus Edelstahl"</f>
        <v>PAS UP Bodeneinbauleuchte LED 3W, 4000K, Ø70mm, kpl. aus Edelstahl</v>
      </c>
      <c r="C984" t="str">
        <f t="shared" si="47"/>
        <v>207</v>
      </c>
      <c r="D984" s="1">
        <v>320</v>
      </c>
    </row>
    <row r="985" spans="1:4" x14ac:dyDescent="0.25">
      <c r="A985" t="str">
        <f>"PASUP70R-3WW"</f>
        <v>PASUP70R-3WW</v>
      </c>
      <c r="B985" t="str">
        <f>"PAS UP Bodeneinbauleuchte LED 3W, 3000K, Ø70mm Gehäuse Alu, Abdeckung Edelstahl"</f>
        <v>PAS UP Bodeneinbauleuchte LED 3W, 3000K, Ø70mm Gehäuse Alu, Abdeckung Edelstahl</v>
      </c>
      <c r="C985" t="str">
        <f t="shared" si="47"/>
        <v>207</v>
      </c>
      <c r="D985" s="1">
        <v>231</v>
      </c>
    </row>
    <row r="986" spans="1:4" x14ac:dyDescent="0.25">
      <c r="A986" t="str">
        <f>"PASUP70R-3WW-0"</f>
        <v>PASUP70R-3WW-0</v>
      </c>
      <c r="B986" t="str">
        <f>"PAS UP Bodeneinbauleuchte LED 3W, 3000K, Ø70mm, kpl. aus Edelstahl"</f>
        <v>PAS UP Bodeneinbauleuchte LED 3W, 3000K, Ø70mm, kpl. aus Edelstahl</v>
      </c>
      <c r="C986" t="str">
        <f t="shared" si="47"/>
        <v>207</v>
      </c>
      <c r="D986" s="1">
        <v>320</v>
      </c>
    </row>
    <row r="987" spans="1:4" x14ac:dyDescent="0.25">
      <c r="A987" t="str">
        <f>"PASUP70-1NW7"</f>
        <v>PASUP70-1NW7</v>
      </c>
      <c r="B987" t="str">
        <f>"PAS UP Bodeneinbauleuchte LED 1W, 4000K, Ø70mm externer Treiber, Alu, metallgrau"</f>
        <v>PAS UP Bodeneinbauleuchte LED 1W, 4000K, Ø70mm externer Treiber, Alu, metallgrau</v>
      </c>
      <c r="C987" t="str">
        <f t="shared" si="47"/>
        <v>207</v>
      </c>
      <c r="D987" s="1">
        <v>197</v>
      </c>
    </row>
    <row r="988" spans="1:4" x14ac:dyDescent="0.25">
      <c r="A988" t="str">
        <f>"PASUP70-1NW7-0"</f>
        <v>PASUP70-1NW7-0</v>
      </c>
      <c r="B988" t="str">
        <f>"PAS UP Bodeneinbauleuchte LED 1W, 4000K, Ø70mm, Gehäuse Edelstahl, Abdeckung Alu"</f>
        <v>PAS UP Bodeneinbauleuchte LED 1W, 4000K, Ø70mm, Gehäuse Edelstahl, Abdeckung Alu</v>
      </c>
      <c r="C988" t="str">
        <f t="shared" si="47"/>
        <v>207</v>
      </c>
      <c r="D988" s="1">
        <v>286</v>
      </c>
    </row>
    <row r="989" spans="1:4" x14ac:dyDescent="0.25">
      <c r="A989" t="str">
        <f>"PASUP70-1WW7"</f>
        <v>PASUP70-1WW7</v>
      </c>
      <c r="B989" t="str">
        <f>"PAS UP Bodeneinbauleuchte LED 1W, 3000K, Ø70mm externer Treiber, Alu, metallgrau"</f>
        <v>PAS UP Bodeneinbauleuchte LED 1W, 3000K, Ø70mm externer Treiber, Alu, metallgrau</v>
      </c>
      <c r="C989" t="str">
        <f t="shared" si="47"/>
        <v>207</v>
      </c>
      <c r="D989" s="1">
        <v>197</v>
      </c>
    </row>
    <row r="990" spans="1:4" x14ac:dyDescent="0.25">
      <c r="A990" t="str">
        <f>"PASUP70-1WW7-0"</f>
        <v>PASUP70-1WW7-0</v>
      </c>
      <c r="B990" t="str">
        <f>"PAS UP Bodeneinbauleuchte LED 1W, 3000K, Ø70mm, Gehäuse Edelstahl, Abdeckung Alu"</f>
        <v>PAS UP Bodeneinbauleuchte LED 1W, 3000K, Ø70mm, Gehäuse Edelstahl, Abdeckung Alu</v>
      </c>
      <c r="C990" t="str">
        <f t="shared" si="47"/>
        <v>207</v>
      </c>
      <c r="D990" s="1">
        <v>286</v>
      </c>
    </row>
    <row r="991" spans="1:4" x14ac:dyDescent="0.25">
      <c r="A991" t="str">
        <f>"PASUP70-3NW7"</f>
        <v>PASUP70-3NW7</v>
      </c>
      <c r="B991" t="str">
        <f>"PAS UP Bodeneinbauleuchte LED 3W, 4000K, Ø70mm externer Treiber, Alu, metallgrau"</f>
        <v>PAS UP Bodeneinbauleuchte LED 3W, 4000K, Ø70mm externer Treiber, Alu, metallgrau</v>
      </c>
      <c r="C991" t="str">
        <f t="shared" si="47"/>
        <v>207</v>
      </c>
      <c r="D991" s="1">
        <v>203</v>
      </c>
    </row>
    <row r="992" spans="1:4" x14ac:dyDescent="0.25">
      <c r="A992" t="str">
        <f>"PASUP70-3NW7-0"</f>
        <v>PASUP70-3NW7-0</v>
      </c>
      <c r="B992" t="str">
        <f>"PAS UP Bodeneinbauleuchte LED 3W, 4000K, Ø70mm, Gehäuse Edelstahl, Abdeckung Alu"</f>
        <v>PAS UP Bodeneinbauleuchte LED 3W, 4000K, Ø70mm, Gehäuse Edelstahl, Abdeckung Alu</v>
      </c>
      <c r="C992" t="str">
        <f t="shared" si="47"/>
        <v>207</v>
      </c>
      <c r="D992" s="1">
        <v>292</v>
      </c>
    </row>
    <row r="993" spans="1:4" x14ac:dyDescent="0.25">
      <c r="A993" t="str">
        <f>"PASUP70-3WW7"</f>
        <v>PASUP70-3WW7</v>
      </c>
      <c r="B993" t="str">
        <f>"PAS UP Bodeneinbauleuchte LED 3W, 3000K, Ø70mm externer Treiber, Alu, metallgrau"</f>
        <v>PAS UP Bodeneinbauleuchte LED 3W, 3000K, Ø70mm externer Treiber, Alu, metallgrau</v>
      </c>
      <c r="C993" t="str">
        <f t="shared" si="47"/>
        <v>207</v>
      </c>
      <c r="D993" s="1">
        <v>203</v>
      </c>
    </row>
    <row r="994" spans="1:4" x14ac:dyDescent="0.25">
      <c r="A994" t="str">
        <f>"PASUP70-3WW7-0"</f>
        <v>PASUP70-3WW7-0</v>
      </c>
      <c r="B994" t="str">
        <f>"PAS UP Bodeneinbauleuchte LED 3W, 3000K, Ø70mm, Gehäuse Edelstahl, Abdeckung Alu"</f>
        <v>PAS UP Bodeneinbauleuchte LED 3W, 3000K, Ø70mm, Gehäuse Edelstahl, Abdeckung Alu</v>
      </c>
      <c r="C994" t="str">
        <f t="shared" si="47"/>
        <v>207</v>
      </c>
      <c r="D994" s="1">
        <v>292</v>
      </c>
    </row>
    <row r="995" spans="1:4" x14ac:dyDescent="0.25">
      <c r="A995" t="str">
        <f>"PAS125-1-4NW07"</f>
        <v>PAS125-1-4NW07</v>
      </c>
      <c r="B995" t="str">
        <f>"PAS Bodeneinbauleuchte LED4W 4000K 1Lichtaustritt Gehäuse E-stahl Abdeckung Alu"</f>
        <v>PAS Bodeneinbauleuchte LED4W 4000K 1Lichtaustritt Gehäuse E-stahl Abdeckung Alu</v>
      </c>
      <c r="C995" t="str">
        <f t="shared" ref="C995:C1006" si="48">"212"</f>
        <v>212</v>
      </c>
      <c r="D995" s="1">
        <v>393</v>
      </c>
    </row>
    <row r="996" spans="1:4" x14ac:dyDescent="0.25">
      <c r="A996" t="str">
        <f>"PAS125-1-4NW7"</f>
        <v>PAS125-1-4NW7</v>
      </c>
      <c r="B996" t="str">
        <f>"PAS Bodeneinbauleuchte LED 4W 4000K, 1Lichtaustritt, mit Treiber, Alu metallgrau"</f>
        <v>PAS Bodeneinbauleuchte LED 4W 4000K, 1Lichtaustritt, mit Treiber, Alu metallgrau</v>
      </c>
      <c r="C996" t="str">
        <f t="shared" si="48"/>
        <v>212</v>
      </c>
      <c r="D996" s="1">
        <v>261</v>
      </c>
    </row>
    <row r="997" spans="1:4" x14ac:dyDescent="0.25">
      <c r="A997" t="str">
        <f>"PAS125-1-4WW07"</f>
        <v>PAS125-1-4WW07</v>
      </c>
      <c r="B997" t="str">
        <f>"PAS Bodeneinbauleuchte LED4W 3000K 1Lichtaustritt Gehäuse E-stahl Abdeckung Alu"</f>
        <v>PAS Bodeneinbauleuchte LED4W 3000K 1Lichtaustritt Gehäuse E-stahl Abdeckung Alu</v>
      </c>
      <c r="C997" t="str">
        <f t="shared" si="48"/>
        <v>212</v>
      </c>
      <c r="D997" s="1">
        <v>393</v>
      </c>
    </row>
    <row r="998" spans="1:4" x14ac:dyDescent="0.25">
      <c r="A998" t="str">
        <f>"PAS125-1-4WW7"</f>
        <v>PAS125-1-4WW7</v>
      </c>
      <c r="B998" t="str">
        <f>"PAS Bodeneinbauleuchte LED 4W 3000K, 1Lichtaustritt, mit Treiber, Alu metallgrau"</f>
        <v>PAS Bodeneinbauleuchte LED 4W 3000K, 1Lichtaustritt, mit Treiber, Alu metallgrau</v>
      </c>
      <c r="C998" t="str">
        <f t="shared" si="48"/>
        <v>212</v>
      </c>
      <c r="D998" s="1">
        <v>261</v>
      </c>
    </row>
    <row r="999" spans="1:4" x14ac:dyDescent="0.25">
      <c r="A999" t="str">
        <f>"PAS125-2-180-4NW07"</f>
        <v>PAS125-2-180-4NW07</v>
      </c>
      <c r="B999" t="str">
        <f>"PAS Bodeneinbauleuchte LED4W 2Lichtaustritt 180° Gehäuse Edelstahl Abdeckung Alu"</f>
        <v>PAS Bodeneinbauleuchte LED4W 2Lichtaustritt 180° Gehäuse Edelstahl Abdeckung Alu</v>
      </c>
      <c r="C999" t="str">
        <f t="shared" si="48"/>
        <v>212</v>
      </c>
      <c r="D999" s="1">
        <v>393</v>
      </c>
    </row>
    <row r="1000" spans="1:4" x14ac:dyDescent="0.25">
      <c r="A1000" t="str">
        <f>"PAS125-2-180-4NW7"</f>
        <v>PAS125-2-180-4NW7</v>
      </c>
      <c r="B1000" t="str">
        <f>"PAS Bodeneinbauleuchte LED 4W, 2Lichtaustritt 180°, mit Treiber, Alu metallgr"</f>
        <v>PAS Bodeneinbauleuchte LED 4W, 2Lichtaustritt 180°, mit Treiber, Alu metallgr</v>
      </c>
      <c r="C1000" t="str">
        <f t="shared" si="48"/>
        <v>212</v>
      </c>
      <c r="D1000" s="1">
        <v>261</v>
      </c>
    </row>
    <row r="1001" spans="1:4" x14ac:dyDescent="0.25">
      <c r="A1001" t="str">
        <f>"PAS125-2-180-4WW07"</f>
        <v>PAS125-2-180-4WW07</v>
      </c>
      <c r="B1001" t="str">
        <f>"PAS Bodeneinbauleuchte LED4W 2Lichtaustritt 180° Gehäuse Edelstahl Abdeckung Alu"</f>
        <v>PAS Bodeneinbauleuchte LED4W 2Lichtaustritt 180° Gehäuse Edelstahl Abdeckung Alu</v>
      </c>
      <c r="C1001" t="str">
        <f t="shared" si="48"/>
        <v>212</v>
      </c>
      <c r="D1001" s="1">
        <v>393</v>
      </c>
    </row>
    <row r="1002" spans="1:4" x14ac:dyDescent="0.25">
      <c r="A1002" t="str">
        <f>"PAS125-2-180-4WW7"</f>
        <v>PAS125-2-180-4WW7</v>
      </c>
      <c r="B1002" t="str">
        <f>"PAS Bodeneinbauleuchte LED 4W, 2Lichtaustritt 180°, mit Treiber, Alu metallgr"</f>
        <v>PAS Bodeneinbauleuchte LED 4W, 2Lichtaustritt 180°, mit Treiber, Alu metallgr</v>
      </c>
      <c r="C1002" t="str">
        <f t="shared" si="48"/>
        <v>212</v>
      </c>
      <c r="D1002" s="1">
        <v>261</v>
      </c>
    </row>
    <row r="1003" spans="1:4" x14ac:dyDescent="0.25">
      <c r="A1003" t="str">
        <f>"PAS125-2-90-4NW07"</f>
        <v>PAS125-2-90-4NW07</v>
      </c>
      <c r="B1003" t="str">
        <f>"PAS Bodeneinbauleuchte LED 4W 2Lichtaustritt 90° Gehäuse Edelstahl Abdeckung Alu"</f>
        <v>PAS Bodeneinbauleuchte LED 4W 2Lichtaustritt 90° Gehäuse Edelstahl Abdeckung Alu</v>
      </c>
      <c r="C1003" t="str">
        <f t="shared" si="48"/>
        <v>212</v>
      </c>
      <c r="D1003" s="1">
        <v>393</v>
      </c>
    </row>
    <row r="1004" spans="1:4" x14ac:dyDescent="0.25">
      <c r="A1004" t="str">
        <f>"PAS125-2-90-4NW7"</f>
        <v>PAS125-2-90-4NW7</v>
      </c>
      <c r="B1004" t="str">
        <f>"PAS Bodeneinbauleuchte LED 4W, 2Lichtaustritt 90°, mit Treiber, Alu metallgr"</f>
        <v>PAS Bodeneinbauleuchte LED 4W, 2Lichtaustritt 90°, mit Treiber, Alu metallgr</v>
      </c>
      <c r="C1004" t="str">
        <f t="shared" si="48"/>
        <v>212</v>
      </c>
      <c r="D1004" s="1">
        <v>261</v>
      </c>
    </row>
    <row r="1005" spans="1:4" x14ac:dyDescent="0.25">
      <c r="A1005" t="str">
        <f>"PAS125-2-90-4WW07"</f>
        <v>PAS125-2-90-4WW07</v>
      </c>
      <c r="B1005" t="str">
        <f>"PAS Bodeneinbauleuchte LED 4W 2Lichtaustritt 90° Gehäuse Edelstahl Abdeckung Alu"</f>
        <v>PAS Bodeneinbauleuchte LED 4W 2Lichtaustritt 90° Gehäuse Edelstahl Abdeckung Alu</v>
      </c>
      <c r="C1005" t="str">
        <f t="shared" si="48"/>
        <v>212</v>
      </c>
      <c r="D1005" s="1">
        <v>393</v>
      </c>
    </row>
    <row r="1006" spans="1:4" x14ac:dyDescent="0.25">
      <c r="A1006" t="str">
        <f>"PAS125-2-90-4WW7"</f>
        <v>PAS125-2-90-4WW7</v>
      </c>
      <c r="B1006" t="str">
        <f>"PAS Bodeneinbauleuchte LED 4W, 2Lichtaustritt 90°, mit Treiber, Alu metallgr"</f>
        <v>PAS Bodeneinbauleuchte LED 4W, 2Lichtaustritt 90°, mit Treiber, Alu metallgr</v>
      </c>
      <c r="C1006" t="str">
        <f t="shared" si="48"/>
        <v>212</v>
      </c>
      <c r="D1006" s="1">
        <v>261</v>
      </c>
    </row>
    <row r="1007" spans="1:4" x14ac:dyDescent="0.25">
      <c r="A1007" t="str">
        <f>"PAS180-8NW07"</f>
        <v>PAS180-8NW07</v>
      </c>
      <c r="B1007" t="str">
        <f>"PAS Bodeneinbauleuchte schwenkbar 0-45°, LED 8W, 4000K, Edelstahlgehäuse"</f>
        <v>PAS Bodeneinbauleuchte schwenkbar 0-45°, LED 8W, 4000K, Edelstahlgehäuse</v>
      </c>
      <c r="C1007" t="str">
        <f>"213"</f>
        <v>213</v>
      </c>
      <c r="D1007" s="1">
        <v>500</v>
      </c>
    </row>
    <row r="1008" spans="1:4" x14ac:dyDescent="0.25">
      <c r="A1008" t="str">
        <f>"PAS180-8NW7"</f>
        <v>PAS180-8NW7</v>
      </c>
      <c r="B1008" t="str">
        <f>"PAS Bodeneinbauleuchte schwenkbar 0-45°, LED 8W, 4000K"</f>
        <v>PAS Bodeneinbauleuchte schwenkbar 0-45°, LED 8W, 4000K</v>
      </c>
      <c r="C1008" t="str">
        <f>"213"</f>
        <v>213</v>
      </c>
      <c r="D1008" s="1">
        <v>385</v>
      </c>
    </row>
    <row r="1009" spans="1:4" x14ac:dyDescent="0.25">
      <c r="A1009" t="str">
        <f>"PAS180-8WW07"</f>
        <v>PAS180-8WW07</v>
      </c>
      <c r="B1009" t="str">
        <f>"PAS Bodeneinbauleuchte schwenkbar 0-45°, LED 8W, 3000K, Edelstahlgehäuse"</f>
        <v>PAS Bodeneinbauleuchte schwenkbar 0-45°, LED 8W, 3000K, Edelstahlgehäuse</v>
      </c>
      <c r="C1009" t="str">
        <f>"213"</f>
        <v>213</v>
      </c>
      <c r="D1009" s="1">
        <v>500</v>
      </c>
    </row>
    <row r="1010" spans="1:4" x14ac:dyDescent="0.25">
      <c r="A1010" t="str">
        <f>"PAS180-8WW7"</f>
        <v>PAS180-8WW7</v>
      </c>
      <c r="B1010" t="str">
        <f>"PAS Bodeneinbauleuchte schwenkbar 0-45°, LED 8W, 3000K"</f>
        <v>PAS Bodeneinbauleuchte schwenkbar 0-45°, LED 8W, 3000K</v>
      </c>
      <c r="C1010" t="str">
        <f>"213"</f>
        <v>213</v>
      </c>
      <c r="D1010" s="1">
        <v>385</v>
      </c>
    </row>
    <row r="1011" spans="1:4" x14ac:dyDescent="0.25">
      <c r="A1011" t="str">
        <f>"PAS70-1-3NW0"</f>
        <v>PAS70-1-3NW0</v>
      </c>
      <c r="B1011" t="str">
        <f>"PAS Bodeneinbauleuchte LED 3W 4000K, 1Lichtaustritt, kpl. aus Edelstahl"</f>
        <v>PAS Bodeneinbauleuchte LED 3W 4000K, 1Lichtaustritt, kpl. aus Edelstahl</v>
      </c>
      <c r="C1011" t="str">
        <f t="shared" ref="C1011:C1020" si="49">"211"</f>
        <v>211</v>
      </c>
      <c r="D1011" s="1">
        <v>322.5</v>
      </c>
    </row>
    <row r="1012" spans="1:4" x14ac:dyDescent="0.25">
      <c r="A1012" t="str">
        <f>"PAS70-1-3NW7"</f>
        <v>PAS70-1-3NW7</v>
      </c>
      <c r="B1012" t="str">
        <f>"PAS Bodeneinbauleuchte LED 3W 4000K, 1Lichtaustritt, mit Treiber, Alu metallgrau"</f>
        <v>PAS Bodeneinbauleuchte LED 3W 4000K, 1Lichtaustritt, mit Treiber, Alu metallgrau</v>
      </c>
      <c r="C1012" t="str">
        <f t="shared" si="49"/>
        <v>211</v>
      </c>
      <c r="D1012" s="1">
        <v>212.5</v>
      </c>
    </row>
    <row r="1013" spans="1:4" x14ac:dyDescent="0.25">
      <c r="A1013" t="str">
        <f>"PAS70-1-3WW0"</f>
        <v>PAS70-1-3WW0</v>
      </c>
      <c r="B1013" t="str">
        <f>"PAS Bodeneinbauleuchte LED 3W 3000K, 1Lichtaustritt, kpl. aus Edelstahl"</f>
        <v>PAS Bodeneinbauleuchte LED 3W 3000K, 1Lichtaustritt, kpl. aus Edelstahl</v>
      </c>
      <c r="C1013" t="str">
        <f t="shared" si="49"/>
        <v>211</v>
      </c>
      <c r="D1013" s="1">
        <v>322.5</v>
      </c>
    </row>
    <row r="1014" spans="1:4" x14ac:dyDescent="0.25">
      <c r="A1014" t="str">
        <f>"PAS70-1-3WW7"</f>
        <v>PAS70-1-3WW7</v>
      </c>
      <c r="B1014" t="str">
        <f>"PAS Bodeneinbauleuchte LED 3W 3000K, 1Lichtaustritt, mit Treiber, Alu metallgrau"</f>
        <v>PAS Bodeneinbauleuchte LED 3W 3000K, 1Lichtaustritt, mit Treiber, Alu metallgrau</v>
      </c>
      <c r="C1014" t="str">
        <f t="shared" si="49"/>
        <v>211</v>
      </c>
      <c r="D1014" s="1">
        <v>212.5</v>
      </c>
    </row>
    <row r="1015" spans="1:4" x14ac:dyDescent="0.25">
      <c r="A1015" t="str">
        <f>"PAS70-2-180-3NW7"</f>
        <v>PAS70-2-180-3NW7</v>
      </c>
      <c r="B1015" t="str">
        <f>"PAS Bodeneinbauleuchte LED 3W 4000K 2 Lichtaustritte, m. Treiber, Alu metallgrau"</f>
        <v>PAS Bodeneinbauleuchte LED 3W 4000K 2 Lichtaustritte, m. Treiber, Alu metallgrau</v>
      </c>
      <c r="C1015" t="str">
        <f t="shared" si="49"/>
        <v>211</v>
      </c>
      <c r="D1015" s="1">
        <v>212.5</v>
      </c>
    </row>
    <row r="1016" spans="1:4" x14ac:dyDescent="0.25">
      <c r="A1016" t="str">
        <f>"PAS70-2-180-3WW7"</f>
        <v>PAS70-2-180-3WW7</v>
      </c>
      <c r="B1016" t="str">
        <f>"PAS Bodeneinbauleuchte LED 3W 3000K, 2 Lichtaustritte, mit Treiber, Alu metallgr"</f>
        <v>PAS Bodeneinbauleuchte LED 3W 3000K, 2 Lichtaustritte, mit Treiber, Alu metallgr</v>
      </c>
      <c r="C1016" t="str">
        <f t="shared" si="49"/>
        <v>211</v>
      </c>
      <c r="D1016" s="1">
        <v>212.5</v>
      </c>
    </row>
    <row r="1017" spans="1:4" x14ac:dyDescent="0.25">
      <c r="A1017" t="str">
        <f>"PAS70-2-90-3NW0"</f>
        <v>PAS70-2-90-3NW0</v>
      </c>
      <c r="B1017" t="str">
        <f>"PAS Bodeneinbauleuchte LED 3W 4000K, 2 Lichtaustritte, kpl. aus Edelstahl"</f>
        <v>PAS Bodeneinbauleuchte LED 3W 4000K, 2 Lichtaustritte, kpl. aus Edelstahl</v>
      </c>
      <c r="C1017" t="str">
        <f t="shared" si="49"/>
        <v>211</v>
      </c>
      <c r="D1017" s="1">
        <v>322.5</v>
      </c>
    </row>
    <row r="1018" spans="1:4" x14ac:dyDescent="0.25">
      <c r="A1018" t="str">
        <f>"PAS70-2-90-3NW7"</f>
        <v>PAS70-2-90-3NW7</v>
      </c>
      <c r="B1018" t="str">
        <f>"PAS Bodeneinbauleuchte LED 3W 4000K, 2 Lichtaustritte, mit Treiber, Alu metallgr"</f>
        <v>PAS Bodeneinbauleuchte LED 3W 4000K, 2 Lichtaustritte, mit Treiber, Alu metallgr</v>
      </c>
      <c r="C1018" t="str">
        <f t="shared" si="49"/>
        <v>211</v>
      </c>
      <c r="D1018" s="1">
        <v>212.5</v>
      </c>
    </row>
    <row r="1019" spans="1:4" x14ac:dyDescent="0.25">
      <c r="A1019" t="str">
        <f>"PAS70-2-90-3WW0"</f>
        <v>PAS70-2-90-3WW0</v>
      </c>
      <c r="B1019" t="str">
        <f>"PAS Bodeneinbauleuchte LED 3W 3000K, 2 Lichtaustritte, kpl. aus Edelstahl"</f>
        <v>PAS Bodeneinbauleuchte LED 3W 3000K, 2 Lichtaustritte, kpl. aus Edelstahl</v>
      </c>
      <c r="C1019" t="str">
        <f t="shared" si="49"/>
        <v>211</v>
      </c>
      <c r="D1019" s="1">
        <v>322.5</v>
      </c>
    </row>
    <row r="1020" spans="1:4" x14ac:dyDescent="0.25">
      <c r="A1020" t="str">
        <f>"PAS70-2-90-3WW7"</f>
        <v>PAS70-2-90-3WW7</v>
      </c>
      <c r="B1020" t="str">
        <f>"PAS Bodeneinbauleuchte LED 3W 3000K, 2 Lichtaustritte, mit Treiber, Alu metallgr"</f>
        <v>PAS Bodeneinbauleuchte LED 3W 3000K, 2 Lichtaustritte, mit Treiber, Alu metallgr</v>
      </c>
      <c r="C1020" t="str">
        <f t="shared" si="49"/>
        <v>211</v>
      </c>
      <c r="D1020" s="1">
        <v>212.5</v>
      </c>
    </row>
    <row r="1021" spans="1:4" x14ac:dyDescent="0.25">
      <c r="A1021" t="str">
        <f>"PEP-11SW2"</f>
        <v>PEP-11SW2</v>
      </c>
      <c r="B1021" t="str">
        <f>"PEP LED Lichteinsatz, 11W, 2700K, schwarz"</f>
        <v>PEP LED Lichteinsatz, 11W, 2700K, schwarz</v>
      </c>
      <c r="C1021" t="str">
        <f t="shared" ref="C1021:C1026" si="50">"39"</f>
        <v>39</v>
      </c>
      <c r="D1021" s="1">
        <v>70</v>
      </c>
    </row>
    <row r="1022" spans="1:4" x14ac:dyDescent="0.25">
      <c r="A1022" t="str">
        <f>"PEP-11SW2DD"</f>
        <v>PEP-11SW2DD</v>
      </c>
      <c r="B1022" t="str">
        <f>"PEP LED Lichteinsatz, 11W, 2700K, DALI, schwarz"</f>
        <v>PEP LED Lichteinsatz, 11W, 2700K, DALI, schwarz</v>
      </c>
      <c r="C1022" t="str">
        <f t="shared" si="50"/>
        <v>39</v>
      </c>
      <c r="D1022" s="1">
        <v>162.5</v>
      </c>
    </row>
    <row r="1023" spans="1:4" x14ac:dyDescent="0.25">
      <c r="A1023" t="str">
        <f>"PEP-11WW2"</f>
        <v>PEP-11WW2</v>
      </c>
      <c r="B1023" t="str">
        <f>"PEP LED Lichteinsatz, 11W, 3000K, schwarz"</f>
        <v>PEP LED Lichteinsatz, 11W, 3000K, schwarz</v>
      </c>
      <c r="C1023" t="str">
        <f t="shared" si="50"/>
        <v>39</v>
      </c>
      <c r="D1023" s="1">
        <v>70</v>
      </c>
    </row>
    <row r="1024" spans="1:4" x14ac:dyDescent="0.25">
      <c r="A1024" t="str">
        <f>"PEP-11WW2DD"</f>
        <v>PEP-11WW2DD</v>
      </c>
      <c r="B1024" t="str">
        <f>"PEP LED Lichteinsatz, 11W, 3000K, DALI, schwarz"</f>
        <v>PEP LED Lichteinsatz, 11W, 3000K, DALI, schwarz</v>
      </c>
      <c r="C1024" t="str">
        <f t="shared" si="50"/>
        <v>39</v>
      </c>
      <c r="D1024" s="1">
        <v>162.5</v>
      </c>
    </row>
    <row r="1025" spans="1:4" x14ac:dyDescent="0.25">
      <c r="A1025" t="str">
        <f>"PEP-12SW2"</f>
        <v>PEP-12SW2</v>
      </c>
      <c r="B1025" t="str">
        <f>"PEP LED Lichteinsatz, 12W, 2700K, schwarz"</f>
        <v>PEP LED Lichteinsatz, 12W, 2700K, schwarz</v>
      </c>
      <c r="C1025" t="str">
        <f t="shared" si="50"/>
        <v>39</v>
      </c>
      <c r="D1025" s="1">
        <v>90</v>
      </c>
    </row>
    <row r="1026" spans="1:4" x14ac:dyDescent="0.25">
      <c r="A1026" t="str">
        <f>"PEP-12SW2DD"</f>
        <v>PEP-12SW2DD</v>
      </c>
      <c r="B1026" t="str">
        <f>"PEP LED Lichteinsatz, 12W, 2700K, DALI, schwarz"</f>
        <v>PEP LED Lichteinsatz, 12W, 2700K, DALI, schwarz</v>
      </c>
      <c r="C1026" t="str">
        <f t="shared" si="50"/>
        <v>39</v>
      </c>
      <c r="D1026" s="1">
        <v>195</v>
      </c>
    </row>
    <row r="1027" spans="1:4" x14ac:dyDescent="0.25">
      <c r="A1027" t="str">
        <f>"PEP-12WW2"</f>
        <v>PEP-12WW2</v>
      </c>
      <c r="B1027" t="str">
        <f>"PEP LED Lichteinsatz, 12W, 3000K, schwarz"</f>
        <v>PEP LED Lichteinsatz, 12W, 3000K, schwarz</v>
      </c>
      <c r="C1027" t="str">
        <f>"38"</f>
        <v>38</v>
      </c>
      <c r="D1027" s="1">
        <v>90</v>
      </c>
    </row>
    <row r="1028" spans="1:4" x14ac:dyDescent="0.25">
      <c r="A1028" t="str">
        <f>"PEP-12WW2DD"</f>
        <v>PEP-12WW2DD</v>
      </c>
      <c r="B1028" t="str">
        <f>"PEP LED Lichteinsatz, 12W, 3000K, DALI, schwarz"</f>
        <v>PEP LED Lichteinsatz, 12W, 3000K, DALI, schwarz</v>
      </c>
      <c r="C1028" t="str">
        <f>"39"</f>
        <v>39</v>
      </c>
      <c r="D1028" s="1">
        <v>195</v>
      </c>
    </row>
    <row r="1029" spans="1:4" x14ac:dyDescent="0.25">
      <c r="A1029" t="str">
        <f>"PEP-14SW12"</f>
        <v>PEP-14SW12</v>
      </c>
      <c r="B1029" t="str">
        <f>"PEP LED Schienenstrahler, 14W, 2700K, schwarz"</f>
        <v>PEP LED Schienenstrahler, 14W, 2700K, schwarz</v>
      </c>
      <c r="C1029" t="str">
        <f t="shared" ref="C1029:C1036" si="51">"38"</f>
        <v>38</v>
      </c>
      <c r="D1029" s="1">
        <v>69</v>
      </c>
    </row>
    <row r="1030" spans="1:4" x14ac:dyDescent="0.25">
      <c r="A1030" t="str">
        <f>"PEP-14SW12DD"</f>
        <v>PEP-14SW12DD</v>
      </c>
      <c r="B1030" t="str">
        <f>"PEP LED Schienenstrahler, 14W, 2700K, DALI, schwarz"</f>
        <v>PEP LED Schienenstrahler, 14W, 2700K, DALI, schwarz</v>
      </c>
      <c r="C1030" t="str">
        <f t="shared" si="51"/>
        <v>38</v>
      </c>
      <c r="D1030" s="1">
        <v>156</v>
      </c>
    </row>
    <row r="1031" spans="1:4" x14ac:dyDescent="0.25">
      <c r="A1031" t="str">
        <f>"PEP-14SW12-1"</f>
        <v>PEP-14SW12-1</v>
      </c>
      <c r="B1031" t="str">
        <f>"PEP LED Schienenstrahler, 14W, 2700K, schwarz/weiß"</f>
        <v>PEP LED Schienenstrahler, 14W, 2700K, schwarz/weiß</v>
      </c>
      <c r="C1031" t="str">
        <f t="shared" si="51"/>
        <v>38</v>
      </c>
      <c r="D1031" s="1">
        <v>69</v>
      </c>
    </row>
    <row r="1032" spans="1:4" x14ac:dyDescent="0.25">
      <c r="A1032" t="str">
        <f>"PEP-14SW12-1DD"</f>
        <v>PEP-14SW12-1DD</v>
      </c>
      <c r="B1032" t="str">
        <f>"PEP LED Schienenstrahler, 14W, 2700K, DALI, schwarz/weiß"</f>
        <v>PEP LED Schienenstrahler, 14W, 2700K, DALI, schwarz/weiß</v>
      </c>
      <c r="C1032" t="str">
        <f t="shared" si="51"/>
        <v>38</v>
      </c>
      <c r="D1032" s="1">
        <v>156</v>
      </c>
    </row>
    <row r="1033" spans="1:4" x14ac:dyDescent="0.25">
      <c r="A1033" t="str">
        <f>"PEP-14WW12"</f>
        <v>PEP-14WW12</v>
      </c>
      <c r="B1033" t="str">
        <f>"PEP LED Schienenstrahler, 14W, 3000K, schwarz"</f>
        <v>PEP LED Schienenstrahler, 14W, 3000K, schwarz</v>
      </c>
      <c r="C1033" t="str">
        <f t="shared" si="51"/>
        <v>38</v>
      </c>
      <c r="D1033" s="1">
        <v>69</v>
      </c>
    </row>
    <row r="1034" spans="1:4" x14ac:dyDescent="0.25">
      <c r="A1034" t="str">
        <f>"PEP-14WW12DD"</f>
        <v>PEP-14WW12DD</v>
      </c>
      <c r="B1034" t="str">
        <f>"PEP LED Schienenstrahler, 14W, 3000K, DALI, schwarz"</f>
        <v>PEP LED Schienenstrahler, 14W, 3000K, DALI, schwarz</v>
      </c>
      <c r="C1034" t="str">
        <f t="shared" si="51"/>
        <v>38</v>
      </c>
      <c r="D1034" s="1">
        <v>156</v>
      </c>
    </row>
    <row r="1035" spans="1:4" x14ac:dyDescent="0.25">
      <c r="A1035" t="str">
        <f>"PEP-14WW12-1"</f>
        <v>PEP-14WW12-1</v>
      </c>
      <c r="B1035" t="str">
        <f>"PEP LED Schienenstrahler, 14W, 3000K, schwarz/weiß"</f>
        <v>PEP LED Schienenstrahler, 14W, 3000K, schwarz/weiß</v>
      </c>
      <c r="C1035" t="str">
        <f t="shared" si="51"/>
        <v>38</v>
      </c>
      <c r="D1035" s="1">
        <v>69</v>
      </c>
    </row>
    <row r="1036" spans="1:4" x14ac:dyDescent="0.25">
      <c r="A1036" t="str">
        <f>"PEP-14WW12-1DD"</f>
        <v>PEP-14WW12-1DD</v>
      </c>
      <c r="B1036" t="str">
        <f>"PEP LED Schienenstrahler, 14W, 3000K, DALI, schwarz/weiß"</f>
        <v>PEP LED Schienenstrahler, 14W, 3000K, DALI, schwarz/weiß</v>
      </c>
      <c r="C1036" t="str">
        <f t="shared" si="51"/>
        <v>38</v>
      </c>
      <c r="D1036" s="1">
        <v>156</v>
      </c>
    </row>
    <row r="1037" spans="1:4" x14ac:dyDescent="0.25">
      <c r="A1037" t="str">
        <f>"PEP-1500"</f>
        <v>PEP-1500</v>
      </c>
      <c r="B1037" t="str">
        <f>"PEP Stahlseilaufhängung für Aufbau, 1,5m"</f>
        <v>PEP Stahlseilaufhängung für Aufbau, 1,5m</v>
      </c>
      <c r="C1037" t="str">
        <f>"37"</f>
        <v>37</v>
      </c>
      <c r="D1037" s="1">
        <v>11</v>
      </c>
    </row>
    <row r="1038" spans="1:4" x14ac:dyDescent="0.25">
      <c r="A1038" t="str">
        <f>"PEP-202"</f>
        <v>PEP-202</v>
      </c>
      <c r="B1038" t="str">
        <f>"PEP Aufbauschiene 2m, schwarz"</f>
        <v>PEP Aufbauschiene 2m, schwarz</v>
      </c>
      <c r="C1038" t="str">
        <f>"37"</f>
        <v>37</v>
      </c>
      <c r="D1038" s="1">
        <v>86.25</v>
      </c>
    </row>
    <row r="1039" spans="1:4" x14ac:dyDescent="0.25">
      <c r="A1039" t="str">
        <f>"PEP-202C"</f>
        <v>PEP-202C</v>
      </c>
      <c r="B1039" t="str">
        <f>"PEP Abdeckung für Ein-, Aufbauschiene, 2m, schwarz"</f>
        <v>PEP Abdeckung für Ein-, Aufbauschiene, 2m, schwarz</v>
      </c>
      <c r="C1039" t="str">
        <f>"37"</f>
        <v>37</v>
      </c>
      <c r="D1039" s="1">
        <v>5.5</v>
      </c>
    </row>
    <row r="1040" spans="1:4" x14ac:dyDescent="0.25">
      <c r="A1040" t="str">
        <f>"PEP-262"</f>
        <v>PEP-262</v>
      </c>
      <c r="B1040" t="str">
        <f>"PEP Einbauschiene 2m, schwarz"</f>
        <v>PEP Einbauschiene 2m, schwarz</v>
      </c>
      <c r="C1040" t="str">
        <f>"37"</f>
        <v>37</v>
      </c>
      <c r="D1040" s="1">
        <v>100</v>
      </c>
    </row>
    <row r="1041" spans="1:4" x14ac:dyDescent="0.25">
      <c r="A1041" t="str">
        <f>"PEP-4SW2"</f>
        <v>PEP-4SW2</v>
      </c>
      <c r="B1041" t="str">
        <f>"PEP LED Lichteinsatz, 4,3W, 2700K, schwarz"</f>
        <v>PEP LED Lichteinsatz, 4,3W, 2700K, schwarz</v>
      </c>
      <c r="C1041" t="str">
        <f t="shared" ref="C1041:C1046" si="52">"39"</f>
        <v>39</v>
      </c>
      <c r="D1041" s="1">
        <v>52</v>
      </c>
    </row>
    <row r="1042" spans="1:4" x14ac:dyDescent="0.25">
      <c r="A1042" t="str">
        <f>"PEP-4WW2"</f>
        <v>PEP-4WW2</v>
      </c>
      <c r="B1042" t="str">
        <f>"PEP LED Lichteinsatz, 4,3W, 3000K, schwarz"</f>
        <v>PEP LED Lichteinsatz, 4,3W, 3000K, schwarz</v>
      </c>
      <c r="C1042" t="str">
        <f t="shared" si="52"/>
        <v>39</v>
      </c>
      <c r="D1042" s="1">
        <v>52</v>
      </c>
    </row>
    <row r="1043" spans="1:4" x14ac:dyDescent="0.25">
      <c r="A1043" t="str">
        <f>"PEP-6SW2"</f>
        <v>PEP-6SW2</v>
      </c>
      <c r="B1043" t="str">
        <f>"PEP LED Lichtkanal, 6W, 2700K, schwarz"</f>
        <v>PEP LED Lichtkanal, 6W, 2700K, schwarz</v>
      </c>
      <c r="C1043" t="str">
        <f t="shared" si="52"/>
        <v>39</v>
      </c>
      <c r="D1043" s="1">
        <v>50</v>
      </c>
    </row>
    <row r="1044" spans="1:4" x14ac:dyDescent="0.25">
      <c r="A1044" t="str">
        <f>"PEP-6SW2DD"</f>
        <v>PEP-6SW2DD</v>
      </c>
      <c r="B1044" t="str">
        <f>"PEP LED Lichtkanal, 6W, 2700K, DALI, schwarz"</f>
        <v>PEP LED Lichtkanal, 6W, 2700K, DALI, schwarz</v>
      </c>
      <c r="C1044" t="str">
        <f t="shared" si="52"/>
        <v>39</v>
      </c>
      <c r="D1044" s="1">
        <v>140</v>
      </c>
    </row>
    <row r="1045" spans="1:4" x14ac:dyDescent="0.25">
      <c r="A1045" t="str">
        <f>"PEP-6WW2"</f>
        <v>PEP-6WW2</v>
      </c>
      <c r="B1045" t="str">
        <f>"PEP LED Lichtkanal, 6W, 3000K, schwarz"</f>
        <v>PEP LED Lichtkanal, 6W, 3000K, schwarz</v>
      </c>
      <c r="C1045" t="str">
        <f t="shared" si="52"/>
        <v>39</v>
      </c>
      <c r="D1045" s="1">
        <v>50</v>
      </c>
    </row>
    <row r="1046" spans="1:4" x14ac:dyDescent="0.25">
      <c r="A1046" t="str">
        <f>"PEP-6WW2DD"</f>
        <v>PEP-6WW2DD</v>
      </c>
      <c r="B1046" t="str">
        <f>"PEP LED Lichtkanal, 6W, 3000K, DALI, schwarz"</f>
        <v>PEP LED Lichtkanal, 6W, 3000K, DALI, schwarz</v>
      </c>
      <c r="C1046" t="str">
        <f t="shared" si="52"/>
        <v>39</v>
      </c>
      <c r="D1046" s="1">
        <v>140</v>
      </c>
    </row>
    <row r="1047" spans="1:4" x14ac:dyDescent="0.25">
      <c r="A1047" t="str">
        <f>"PEP-601A"</f>
        <v>PEP-601A</v>
      </c>
      <c r="B1047" t="str">
        <f>"PEP Metallverbinder, für Aufbauschiene, silber"</f>
        <v>PEP Metallverbinder, für Aufbauschiene, silber</v>
      </c>
      <c r="C1047" t="str">
        <f t="shared" ref="C1047:C1058" si="53">"37"</f>
        <v>37</v>
      </c>
      <c r="D1047" s="1">
        <v>2.5</v>
      </c>
    </row>
    <row r="1048" spans="1:4" x14ac:dyDescent="0.25">
      <c r="A1048" t="str">
        <f>"PEP-601A1"</f>
        <v>PEP-601A1</v>
      </c>
      <c r="B1048" t="str">
        <f>"PEP Eckverbinder, für Einbauschiene, schwarz"</f>
        <v>PEP Eckverbinder, für Einbauschiene, schwarz</v>
      </c>
      <c r="C1048" t="str">
        <f t="shared" si="53"/>
        <v>37</v>
      </c>
      <c r="D1048" s="1">
        <v>10</v>
      </c>
    </row>
    <row r="1049" spans="1:4" x14ac:dyDescent="0.25">
      <c r="A1049" t="str">
        <f>"PEP-601A2"</f>
        <v>PEP-601A2</v>
      </c>
      <c r="B1049" t="str">
        <f>"PEP Eckverbinder, für Einbauschiene, Innenwinkel, schwarz"</f>
        <v>PEP Eckverbinder, für Einbauschiene, Innenwinkel, schwarz</v>
      </c>
      <c r="C1049" t="str">
        <f t="shared" si="53"/>
        <v>37</v>
      </c>
      <c r="D1049" s="1">
        <v>10</v>
      </c>
    </row>
    <row r="1050" spans="1:4" x14ac:dyDescent="0.25">
      <c r="A1050" t="str">
        <f>"PEP-601A3"</f>
        <v>PEP-601A3</v>
      </c>
      <c r="B1050" t="str">
        <f>"PEP Eckverbinder, für Einbauschiene, Außenwinkel, schwarz"</f>
        <v>PEP Eckverbinder, für Einbauschiene, Außenwinkel, schwarz</v>
      </c>
      <c r="C1050" t="str">
        <f t="shared" si="53"/>
        <v>37</v>
      </c>
      <c r="D1050" s="1">
        <v>10</v>
      </c>
    </row>
    <row r="1051" spans="1:4" x14ac:dyDescent="0.25">
      <c r="A1051" t="str">
        <f>"PEP-601B1"</f>
        <v>PEP-601B1</v>
      </c>
      <c r="B1051" t="str">
        <f>"PEP Eckverbinder, für Aufbauschiene, schwarz"</f>
        <v>PEP Eckverbinder, für Aufbauschiene, schwarz</v>
      </c>
      <c r="C1051" t="str">
        <f t="shared" si="53"/>
        <v>37</v>
      </c>
      <c r="D1051" s="1">
        <v>9</v>
      </c>
    </row>
    <row r="1052" spans="1:4" x14ac:dyDescent="0.25">
      <c r="A1052" t="str">
        <f>"PEP-601B2"</f>
        <v>PEP-601B2</v>
      </c>
      <c r="B1052" t="str">
        <f>"PEP Eckverbinder, für Aufbauschiene, Innenwinkel, schwarz"</f>
        <v>PEP Eckverbinder, für Aufbauschiene, Innenwinkel, schwarz</v>
      </c>
      <c r="C1052" t="str">
        <f t="shared" si="53"/>
        <v>37</v>
      </c>
      <c r="D1052" s="1">
        <v>9</v>
      </c>
    </row>
    <row r="1053" spans="1:4" x14ac:dyDescent="0.25">
      <c r="A1053" t="str">
        <f>"PEP-601B3"</f>
        <v>PEP-601B3</v>
      </c>
      <c r="B1053" t="str">
        <f>"PEP Eckverbinder, für Aufbauschiene, Außenwinkel, schwarz"</f>
        <v>PEP Eckverbinder, für Aufbauschiene, Außenwinkel, schwarz</v>
      </c>
      <c r="C1053" t="str">
        <f t="shared" si="53"/>
        <v>37</v>
      </c>
      <c r="D1053" s="1">
        <v>9</v>
      </c>
    </row>
    <row r="1054" spans="1:4" x14ac:dyDescent="0.25">
      <c r="A1054" t="str">
        <f>"PEP-602"</f>
        <v>PEP-602</v>
      </c>
      <c r="B1054" t="str">
        <f>"PEP elektr. Verbinder, DC48V, ohne Kabel, schwarz"</f>
        <v>PEP elektr. Verbinder, DC48V, ohne Kabel, schwarz</v>
      </c>
      <c r="C1054" t="str">
        <f t="shared" si="53"/>
        <v>37</v>
      </c>
      <c r="D1054" s="1">
        <v>8</v>
      </c>
    </row>
    <row r="1055" spans="1:4" x14ac:dyDescent="0.25">
      <c r="A1055" t="str">
        <f>"PEP-602A"</f>
        <v>PEP-602A</v>
      </c>
      <c r="B1055" t="str">
        <f>"PEP Einspeisekabel DC48V, 60cm, schwarz"</f>
        <v>PEP Einspeisekabel DC48V, 60cm, schwarz</v>
      </c>
      <c r="C1055" t="str">
        <f t="shared" si="53"/>
        <v>37</v>
      </c>
      <c r="D1055" s="1">
        <v>13</v>
      </c>
    </row>
    <row r="1056" spans="1:4" x14ac:dyDescent="0.25">
      <c r="A1056" t="str">
        <f>"PEP-602A1"</f>
        <v>PEP-602A1</v>
      </c>
      <c r="B1056" t="str">
        <f>"PEP Einspeisekabel DC48V, 1,5m, schwarz"</f>
        <v>PEP Einspeisekabel DC48V, 1,5m, schwarz</v>
      </c>
      <c r="C1056" t="str">
        <f t="shared" si="53"/>
        <v>37</v>
      </c>
      <c r="D1056" s="1">
        <v>21</v>
      </c>
    </row>
    <row r="1057" spans="1:4" x14ac:dyDescent="0.25">
      <c r="A1057" t="str">
        <f>"PEP-602C"</f>
        <v>PEP-602C</v>
      </c>
      <c r="B1057" t="str">
        <f>"PEP Verbindungskabel, DC48V, schwarz"</f>
        <v>PEP Verbindungskabel, DC48V, schwarz</v>
      </c>
      <c r="C1057" t="str">
        <f t="shared" si="53"/>
        <v>37</v>
      </c>
      <c r="D1057" s="1">
        <v>21</v>
      </c>
    </row>
    <row r="1058" spans="1:4" x14ac:dyDescent="0.25">
      <c r="A1058" t="str">
        <f>"PEP-605"</f>
        <v>PEP-605</v>
      </c>
      <c r="B1058" t="str">
        <f>"PEP Enddeckel für Ein-, Aufbauschiene, schwarz"</f>
        <v>PEP Enddeckel für Ein-, Aufbauschiene, schwarz</v>
      </c>
      <c r="C1058" t="str">
        <f t="shared" si="53"/>
        <v>37</v>
      </c>
      <c r="D1058" s="1">
        <v>2</v>
      </c>
    </row>
    <row r="1059" spans="1:4" x14ac:dyDescent="0.25">
      <c r="A1059" t="str">
        <f>"PEP-7SW2"</f>
        <v>PEP-7SW2</v>
      </c>
      <c r="B1059" t="str">
        <f>"PEP LED Lichteinsatz, 7,6W, 2700K, schwarz"</f>
        <v>PEP LED Lichteinsatz, 7,6W, 2700K, schwarz</v>
      </c>
      <c r="C1059" t="str">
        <f t="shared" ref="C1059:C1064" si="54">"38"</f>
        <v>38</v>
      </c>
      <c r="D1059" s="1">
        <v>70</v>
      </c>
    </row>
    <row r="1060" spans="1:4" x14ac:dyDescent="0.25">
      <c r="A1060" t="str">
        <f>"PEP-7WW2"</f>
        <v>PEP-7WW2</v>
      </c>
      <c r="B1060" t="str">
        <f>"PEP LED Lichteinsatz, 7,6W, 3000K, schwarz"</f>
        <v>PEP LED Lichteinsatz, 7,6W, 3000K, schwarz</v>
      </c>
      <c r="C1060" t="str">
        <f t="shared" si="54"/>
        <v>38</v>
      </c>
      <c r="D1060" s="1">
        <v>70</v>
      </c>
    </row>
    <row r="1061" spans="1:4" x14ac:dyDescent="0.25">
      <c r="A1061" t="str">
        <f>"PEP-8SW12"</f>
        <v>PEP-8SW12</v>
      </c>
      <c r="B1061" t="str">
        <f>"PEP LED Schienenstrahler, 8W, 2700K, schwarz"</f>
        <v>PEP LED Schienenstrahler, 8W, 2700K, schwarz</v>
      </c>
      <c r="C1061" t="str">
        <f t="shared" si="54"/>
        <v>38</v>
      </c>
      <c r="D1061" s="1">
        <v>41</v>
      </c>
    </row>
    <row r="1062" spans="1:4" x14ac:dyDescent="0.25">
      <c r="A1062" t="str">
        <f>"PEP-8SW12DD"</f>
        <v>PEP-8SW12DD</v>
      </c>
      <c r="B1062" t="str">
        <f>"PEP LED Schienenstrahler, 8W, 2700K, DALI, schwarz"</f>
        <v>PEP LED Schienenstrahler, 8W, 2700K, DALI, schwarz</v>
      </c>
      <c r="C1062" t="str">
        <f t="shared" si="54"/>
        <v>38</v>
      </c>
      <c r="D1062" s="1">
        <v>125</v>
      </c>
    </row>
    <row r="1063" spans="1:4" x14ac:dyDescent="0.25">
      <c r="A1063" t="str">
        <f>"PEP-8SW12-1"</f>
        <v>PEP-8SW12-1</v>
      </c>
      <c r="B1063" t="str">
        <f>"PEP LED Schienenstrahler, 8W, 2700K, schwarz/weiß"</f>
        <v>PEP LED Schienenstrahler, 8W, 2700K, schwarz/weiß</v>
      </c>
      <c r="C1063" t="str">
        <f t="shared" si="54"/>
        <v>38</v>
      </c>
      <c r="D1063" s="1">
        <v>41</v>
      </c>
    </row>
    <row r="1064" spans="1:4" x14ac:dyDescent="0.25">
      <c r="A1064" t="str">
        <f>"PEP-8SW12-1DD"</f>
        <v>PEP-8SW12-1DD</v>
      </c>
      <c r="B1064" t="str">
        <f>"PEP LED Schienenstrahler, 8W, 2700K, DALI, schwarz"</f>
        <v>PEP LED Schienenstrahler, 8W, 2700K, DALI, schwarz</v>
      </c>
      <c r="C1064" t="str">
        <f t="shared" si="54"/>
        <v>38</v>
      </c>
      <c r="D1064" s="1">
        <v>125</v>
      </c>
    </row>
    <row r="1065" spans="1:4" x14ac:dyDescent="0.25">
      <c r="A1065" t="str">
        <f>"PEP-8SW32"</f>
        <v>PEP-8SW32</v>
      </c>
      <c r="B1065" t="str">
        <f>"PEP LED Pendelleuchte, 8W, 2700K, schwarz"</f>
        <v>PEP LED Pendelleuchte, 8W, 2700K, schwarz</v>
      </c>
      <c r="C1065" t="str">
        <f>"37"</f>
        <v>37</v>
      </c>
      <c r="D1065" s="1">
        <v>50</v>
      </c>
    </row>
    <row r="1066" spans="1:4" x14ac:dyDescent="0.25">
      <c r="A1066" t="str">
        <f>"PEP-8SW32DD"</f>
        <v>PEP-8SW32DD</v>
      </c>
      <c r="B1066" t="str">
        <f>"PEP LED Pendelleuchte, 8W, 2700K, DALI, schwarz"</f>
        <v>PEP LED Pendelleuchte, 8W, 2700K, DALI, schwarz</v>
      </c>
      <c r="C1066" t="str">
        <f>"37"</f>
        <v>37</v>
      </c>
      <c r="D1066" s="1">
        <v>140</v>
      </c>
    </row>
    <row r="1067" spans="1:4" x14ac:dyDescent="0.25">
      <c r="A1067" t="str">
        <f>"PEP-8WW12"</f>
        <v>PEP-8WW12</v>
      </c>
      <c r="B1067" t="str">
        <f>"PEP LED Schienenstrahler, 8W, 3000K, schwarz"</f>
        <v>PEP LED Schienenstrahler, 8W, 3000K, schwarz</v>
      </c>
      <c r="C1067" t="str">
        <f>"38"</f>
        <v>38</v>
      </c>
      <c r="D1067" s="1">
        <v>41</v>
      </c>
    </row>
    <row r="1068" spans="1:4" x14ac:dyDescent="0.25">
      <c r="A1068" t="str">
        <f>"PEP-8WW12DD"</f>
        <v>PEP-8WW12DD</v>
      </c>
      <c r="B1068" t="str">
        <f>"PEP LED Schienenstrahler, 8W, 3000K, DALI, schwarz"</f>
        <v>PEP LED Schienenstrahler, 8W, 3000K, DALI, schwarz</v>
      </c>
      <c r="C1068" t="str">
        <f>"38"</f>
        <v>38</v>
      </c>
      <c r="D1068" s="1">
        <v>125</v>
      </c>
    </row>
    <row r="1069" spans="1:4" x14ac:dyDescent="0.25">
      <c r="A1069" t="str">
        <f>"PEP-8WW12-1"</f>
        <v>PEP-8WW12-1</v>
      </c>
      <c r="B1069" t="str">
        <f>"PEP LED Schienenstrahler, 8W, 3000K, schwarz/weiß"</f>
        <v>PEP LED Schienenstrahler, 8W, 3000K, schwarz/weiß</v>
      </c>
      <c r="C1069" t="str">
        <f>"38"</f>
        <v>38</v>
      </c>
      <c r="D1069" s="1">
        <v>41</v>
      </c>
    </row>
    <row r="1070" spans="1:4" x14ac:dyDescent="0.25">
      <c r="A1070" t="str">
        <f>"PEP-8WW12-1DD"</f>
        <v>PEP-8WW12-1DD</v>
      </c>
      <c r="B1070" t="str">
        <f>"PEP LED Schienenstrahler, 8W, 3000K, DALI, schwarz/weiß"</f>
        <v>PEP LED Schienenstrahler, 8W, 3000K, DALI, schwarz/weiß</v>
      </c>
      <c r="C1070" t="str">
        <f>"38"</f>
        <v>38</v>
      </c>
      <c r="D1070" s="1">
        <v>125</v>
      </c>
    </row>
    <row r="1071" spans="1:4" x14ac:dyDescent="0.25">
      <c r="A1071" t="str">
        <f>"PIN-A-2"</f>
        <v>PIN-A-2</v>
      </c>
      <c r="B1071" t="str">
        <f>"PINLED, Profilblindabdeckung ALU, 2,02m"</f>
        <v>PINLED, Profilblindabdeckung ALU, 2,02m</v>
      </c>
      <c r="C1071" t="str">
        <f t="shared" ref="C1071:C1081" si="55">"117"</f>
        <v>117</v>
      </c>
      <c r="D1071" s="1">
        <v>16.5</v>
      </c>
    </row>
    <row r="1072" spans="1:4" x14ac:dyDescent="0.25">
      <c r="A1072" t="str">
        <f>"PIN-A-2O"</f>
        <v>PIN-A-2O</v>
      </c>
      <c r="B1072" t="str">
        <f>"PINLED, Profilabdeckung Kunstoff, opal, flach, 2,02m"</f>
        <v>PINLED, Profilabdeckung Kunstoff, opal, flach, 2,02m</v>
      </c>
      <c r="C1072" t="str">
        <f t="shared" si="55"/>
        <v>117</v>
      </c>
      <c r="D1072" s="1">
        <v>16.5</v>
      </c>
    </row>
    <row r="1073" spans="1:4" x14ac:dyDescent="0.25">
      <c r="A1073" t="str">
        <f>"PIN-A-2OQ"</f>
        <v>PIN-A-2OQ</v>
      </c>
      <c r="B1073" t="str">
        <f>"PINLED, Profilabdeckung Kunstoff, opal, quadratisch hoch 2,02m"</f>
        <v>PINLED, Profilabdeckung Kunstoff, opal, quadratisch hoch 2,02m</v>
      </c>
      <c r="C1073" t="str">
        <f t="shared" si="55"/>
        <v>117</v>
      </c>
      <c r="D1073" s="1">
        <v>30</v>
      </c>
    </row>
    <row r="1074" spans="1:4" x14ac:dyDescent="0.25">
      <c r="A1074" t="str">
        <f>"PIN-A-2OR"</f>
        <v>PIN-A-2OR</v>
      </c>
      <c r="B1074" t="str">
        <f>"PINLED, Profilabdeckung Kunstoff, opal, rund hoch 2,02m"</f>
        <v>PINLED, Profilabdeckung Kunstoff, opal, rund hoch 2,02m</v>
      </c>
      <c r="C1074" t="str">
        <f t="shared" si="55"/>
        <v>117</v>
      </c>
      <c r="D1074" s="1">
        <v>30</v>
      </c>
    </row>
    <row r="1075" spans="1:4" x14ac:dyDescent="0.25">
      <c r="A1075" t="str">
        <f>"PIN-A-5"</f>
        <v>PIN-A-5</v>
      </c>
      <c r="B1075" t="str">
        <f>"PINLED, Profilblindabdeckung ALU, 5 m"</f>
        <v>PINLED, Profilblindabdeckung ALU, 5 m</v>
      </c>
      <c r="C1075" t="str">
        <f t="shared" si="55"/>
        <v>117</v>
      </c>
      <c r="D1075" s="1">
        <v>42.5</v>
      </c>
    </row>
    <row r="1076" spans="1:4" x14ac:dyDescent="0.25">
      <c r="A1076" t="str">
        <f>"PIN-A-5O"</f>
        <v>PIN-A-5O</v>
      </c>
      <c r="B1076" t="str">
        <f>"PIN Profil PMMA, ca. 5010 lang, flach, satiniert"</f>
        <v>PIN Profil PMMA, ca. 5010 lang, flach, satiniert</v>
      </c>
      <c r="C1076" t="str">
        <f t="shared" si="55"/>
        <v>117</v>
      </c>
      <c r="D1076" s="1">
        <v>55</v>
      </c>
    </row>
    <row r="1077" spans="1:4" x14ac:dyDescent="0.25">
      <c r="A1077" t="str">
        <f>"PIN-A-5OQ"</f>
        <v>PIN-A-5OQ</v>
      </c>
      <c r="B1077" t="str">
        <f>"PINLED, Profilabdeckung Kunstoff, opal, quadratisch hoch 5,01m"</f>
        <v>PINLED, Profilabdeckung Kunstoff, opal, quadratisch hoch 5,01m</v>
      </c>
      <c r="C1077" t="str">
        <f t="shared" si="55"/>
        <v>117</v>
      </c>
      <c r="D1077" s="1">
        <v>71</v>
      </c>
    </row>
    <row r="1078" spans="1:4" x14ac:dyDescent="0.25">
      <c r="A1078" t="str">
        <f>"PIN-A-5OR"</f>
        <v>PIN-A-5OR</v>
      </c>
      <c r="B1078" t="str">
        <f>"PINLED, Profilabdeckung Kunstoff, opal, rund hoch 5,01m"</f>
        <v>PINLED, Profilabdeckung Kunstoff, opal, rund hoch 5,01m</v>
      </c>
      <c r="C1078" t="str">
        <f t="shared" si="55"/>
        <v>117</v>
      </c>
      <c r="D1078" s="1">
        <v>71</v>
      </c>
    </row>
    <row r="1079" spans="1:4" x14ac:dyDescent="0.25">
      <c r="A1079" t="str">
        <f>"PIN-EKE7"</f>
        <v>PIN-EKE7</v>
      </c>
      <c r="B1079" t="str">
        <f>"PINLED, Endkappe, eckig, 1 Stück, alugrau"</f>
        <v>PINLED, Endkappe, eckig, 1 Stück, alugrau</v>
      </c>
      <c r="C1079" t="str">
        <f t="shared" si="55"/>
        <v>117</v>
      </c>
      <c r="D1079" s="1">
        <v>12.75</v>
      </c>
    </row>
    <row r="1080" spans="1:4" x14ac:dyDescent="0.25">
      <c r="A1080" t="str">
        <f>"PIN-EKR7"</f>
        <v>PIN-EKR7</v>
      </c>
      <c r="B1080" t="str">
        <f>"PINLED, Endkappe, rund, 1 Stück, alugrau"</f>
        <v>PINLED, Endkappe, rund, 1 Stück, alugrau</v>
      </c>
      <c r="C1080" t="str">
        <f t="shared" si="55"/>
        <v>117</v>
      </c>
      <c r="D1080" s="1">
        <v>12.75</v>
      </c>
    </row>
    <row r="1081" spans="1:4" x14ac:dyDescent="0.25">
      <c r="A1081" t="str">
        <f>"PIN-EK7"</f>
        <v>PIN-EK7</v>
      </c>
      <c r="B1081" t="str">
        <f>"PINLED, Endkappe, eckig, 1 Stück, alugrau"</f>
        <v>PINLED, Endkappe, eckig, 1 Stück, alugrau</v>
      </c>
      <c r="C1081" t="str">
        <f t="shared" si="55"/>
        <v>117</v>
      </c>
      <c r="D1081" s="1">
        <v>10</v>
      </c>
    </row>
    <row r="1082" spans="1:4" x14ac:dyDescent="0.25">
      <c r="A1082" t="str">
        <f>"PINE-1200NW"</f>
        <v>PINE-1200NW</v>
      </c>
      <c r="B1082" t="str">
        <f>"PINLED, Spiegelleuchte LED 34W, 4000K, Abdeckung eckig, Länge 1200mm"</f>
        <v>PINLED, Spiegelleuchte LED 34W, 4000K, Abdeckung eckig, Länge 1200mm</v>
      </c>
      <c r="C1082" t="str">
        <f t="shared" ref="C1082:C1093" si="56">"103"</f>
        <v>103</v>
      </c>
      <c r="D1082" s="1">
        <v>207.5</v>
      </c>
    </row>
    <row r="1083" spans="1:4" x14ac:dyDescent="0.25">
      <c r="A1083" t="str">
        <f>"PINE-1200SW"</f>
        <v>PINE-1200SW</v>
      </c>
      <c r="B1083" t="str">
        <f>"PINLED, Spiegelleuchte, LED 34W, 2700K, Abdeckung eckig, Länge 1200 mm"</f>
        <v>PINLED, Spiegelleuchte, LED 34W, 2700K, Abdeckung eckig, Länge 1200 mm</v>
      </c>
      <c r="C1083" t="str">
        <f t="shared" si="56"/>
        <v>103</v>
      </c>
      <c r="D1083" s="1">
        <v>207.5</v>
      </c>
    </row>
    <row r="1084" spans="1:4" x14ac:dyDescent="0.25">
      <c r="A1084" t="str">
        <f>"PINE-1200WW"</f>
        <v>PINE-1200WW</v>
      </c>
      <c r="B1084" t="str">
        <f>"PINLED, Spiegelleuchte, LED 34W, 3000K, Abdeck.eckig, Länge 1200mm"</f>
        <v>PINLED, Spiegelleuchte, LED 34W, 3000K, Abdeck.eckig, Länge 1200mm</v>
      </c>
      <c r="C1084" t="str">
        <f t="shared" si="56"/>
        <v>103</v>
      </c>
      <c r="D1084" s="1">
        <v>207.5</v>
      </c>
    </row>
    <row r="1085" spans="1:4" x14ac:dyDescent="0.25">
      <c r="A1085" t="str">
        <f>"PINE-1500NW"</f>
        <v>PINE-1500NW</v>
      </c>
      <c r="B1085" t="str">
        <f>"PINLED, Spiegelleuchte LED 44W, 4000K, Abdeckung eckig, Länge 1500mm"</f>
        <v>PINLED, Spiegelleuchte LED 44W, 4000K, Abdeckung eckig, Länge 1500mm</v>
      </c>
      <c r="C1085" t="str">
        <f t="shared" si="56"/>
        <v>103</v>
      </c>
      <c r="D1085" s="1">
        <v>226.25</v>
      </c>
    </row>
    <row r="1086" spans="1:4" x14ac:dyDescent="0.25">
      <c r="A1086" t="str">
        <f>"PINE-1500SW"</f>
        <v>PINE-1500SW</v>
      </c>
      <c r="B1086" t="str">
        <f>"PINLED, Spiegelleuchte, LED 44W, 2700K, Abdeckungb eckig, Länge 1500 mm"</f>
        <v>PINLED, Spiegelleuchte, LED 44W, 2700K, Abdeckungb eckig, Länge 1500 mm</v>
      </c>
      <c r="C1086" t="str">
        <f t="shared" si="56"/>
        <v>103</v>
      </c>
      <c r="D1086" s="1">
        <v>226.25</v>
      </c>
    </row>
    <row r="1087" spans="1:4" x14ac:dyDescent="0.25">
      <c r="A1087" t="str">
        <f>"PINE-1500WW"</f>
        <v>PINE-1500WW</v>
      </c>
      <c r="B1087" t="str">
        <f>"PINLED, Spiegelleuchte, LED 44W, 3000K, Abdeckung eckig, Länge 1500 mm"</f>
        <v>PINLED, Spiegelleuchte, LED 44W, 3000K, Abdeckung eckig, Länge 1500 mm</v>
      </c>
      <c r="C1087" t="str">
        <f t="shared" si="56"/>
        <v>103</v>
      </c>
      <c r="D1087" s="1">
        <v>226.25</v>
      </c>
    </row>
    <row r="1088" spans="1:4" x14ac:dyDescent="0.25">
      <c r="A1088" t="str">
        <f>"PINE-600NW"</f>
        <v>PINE-600NW</v>
      </c>
      <c r="B1088" t="str">
        <f>"PINLED, Spiegelleuchte, LED 17W, 4000K, Abdeckung eckig, Länge 600 mm"</f>
        <v>PINLED, Spiegelleuchte, LED 17W, 4000K, Abdeckung eckig, Länge 600 mm</v>
      </c>
      <c r="C1088" t="str">
        <f t="shared" si="56"/>
        <v>103</v>
      </c>
      <c r="D1088" s="1">
        <v>155.5</v>
      </c>
    </row>
    <row r="1089" spans="1:4" x14ac:dyDescent="0.25">
      <c r="A1089" t="str">
        <f>"PINE-600SW"</f>
        <v>PINE-600SW</v>
      </c>
      <c r="B1089" t="str">
        <f>"PINLED, Spiegelleuchte, LED 17W, 2700K, Abdeckung eckig, Länge 600 mm"</f>
        <v>PINLED, Spiegelleuchte, LED 17W, 2700K, Abdeckung eckig, Länge 600 mm</v>
      </c>
      <c r="C1089" t="str">
        <f t="shared" si="56"/>
        <v>103</v>
      </c>
      <c r="D1089" s="1">
        <v>155.5</v>
      </c>
    </row>
    <row r="1090" spans="1:4" x14ac:dyDescent="0.25">
      <c r="A1090" t="str">
        <f>"PINE-600WW"</f>
        <v>PINE-600WW</v>
      </c>
      <c r="B1090" t="str">
        <f>"PINLED, Spiegelleuchte, LED 17W, 3000K, Abdeckung eckig, Länge 600 mm"</f>
        <v>PINLED, Spiegelleuchte, LED 17W, 3000K, Abdeckung eckig, Länge 600 mm</v>
      </c>
      <c r="C1090" t="str">
        <f t="shared" si="56"/>
        <v>103</v>
      </c>
      <c r="D1090" s="1">
        <v>155.5</v>
      </c>
    </row>
    <row r="1091" spans="1:4" x14ac:dyDescent="0.25">
      <c r="A1091" t="str">
        <f>"PINE-900NW"</f>
        <v>PINE-900NW</v>
      </c>
      <c r="B1091" t="str">
        <f>"PINLED, Spiegelleuchte, LED  26W, 4000K, Abdeckung eckig, Länge 900 mm"</f>
        <v>PINLED, Spiegelleuchte, LED  26W, 4000K, Abdeckung eckig, Länge 900 mm</v>
      </c>
      <c r="C1091" t="str">
        <f t="shared" si="56"/>
        <v>103</v>
      </c>
      <c r="D1091" s="1">
        <v>178.5</v>
      </c>
    </row>
    <row r="1092" spans="1:4" x14ac:dyDescent="0.25">
      <c r="A1092" t="str">
        <f>"PINE-900SW"</f>
        <v>PINE-900SW</v>
      </c>
      <c r="B1092" t="str">
        <f>"PINLED, Spiegelleuchte, LED 26W, 2700K, Abdeckung eckig, Länge 900 mm"</f>
        <v>PINLED, Spiegelleuchte, LED 26W, 2700K, Abdeckung eckig, Länge 900 mm</v>
      </c>
      <c r="C1092" t="str">
        <f t="shared" si="56"/>
        <v>103</v>
      </c>
      <c r="D1092" s="1">
        <v>178.5</v>
      </c>
    </row>
    <row r="1093" spans="1:4" x14ac:dyDescent="0.25">
      <c r="A1093" t="str">
        <f>"PINE-900WW"</f>
        <v>PINE-900WW</v>
      </c>
      <c r="B1093" t="str">
        <f>"PINLED, Spiegelleuchte, LED 26W, 3000K, Abdeckung eckig, Länge 900 mm"</f>
        <v>PINLED, Spiegelleuchte, LED 26W, 3000K, Abdeckung eckig, Länge 900 mm</v>
      </c>
      <c r="C1093" t="str">
        <f t="shared" si="56"/>
        <v>103</v>
      </c>
      <c r="D1093" s="1">
        <v>178.5</v>
      </c>
    </row>
    <row r="1094" spans="1:4" x14ac:dyDescent="0.25">
      <c r="A1094" t="str">
        <f>"PIN-P-2"</f>
        <v>PIN-P-2</v>
      </c>
      <c r="B1094" t="str">
        <f>"PINLED, U-Profil Aluminium eloxiert 2m"</f>
        <v>PINLED, U-Profil Aluminium eloxiert 2m</v>
      </c>
      <c r="C1094" t="str">
        <f>"117"</f>
        <v>117</v>
      </c>
      <c r="D1094" s="1">
        <v>38</v>
      </c>
    </row>
    <row r="1095" spans="1:4" x14ac:dyDescent="0.25">
      <c r="A1095" t="str">
        <f>"PIN-P-5"</f>
        <v>PIN-P-5</v>
      </c>
      <c r="B1095" t="str">
        <f>"PINLED, U-Profil Aluminium eloxiert 5m"</f>
        <v>PINLED, U-Profil Aluminium eloxiert 5m</v>
      </c>
      <c r="C1095" t="str">
        <f>"117"</f>
        <v>117</v>
      </c>
      <c r="D1095" s="1">
        <v>75</v>
      </c>
    </row>
    <row r="1096" spans="1:4" x14ac:dyDescent="0.25">
      <c r="A1096" t="str">
        <f>"PINR-1200NW"</f>
        <v>PINR-1200NW</v>
      </c>
      <c r="B1096" t="str">
        <f>"PINLED, Spiegelleuchte, LED 34W, 4000K, Abdeckung rund, Länge 1200mm"</f>
        <v>PINLED, Spiegelleuchte, LED 34W, 4000K, Abdeckung rund, Länge 1200mm</v>
      </c>
      <c r="C1096" t="str">
        <f>"103"</f>
        <v>103</v>
      </c>
      <c r="D1096" s="1">
        <v>207.5</v>
      </c>
    </row>
    <row r="1097" spans="1:4" x14ac:dyDescent="0.25">
      <c r="A1097" t="str">
        <f>"PINR-1200SW"</f>
        <v>PINR-1200SW</v>
      </c>
      <c r="B1097" t="str">
        <f>"PINLED, Spiegelleuchte, LED 34W, 2700K, Abdeckung rund, Länge 1200mm"</f>
        <v>PINLED, Spiegelleuchte, LED 34W, 2700K, Abdeckung rund, Länge 1200mm</v>
      </c>
      <c r="C1097" t="str">
        <f>"103"</f>
        <v>103</v>
      </c>
      <c r="D1097" s="1">
        <v>207.5</v>
      </c>
    </row>
    <row r="1098" spans="1:4" x14ac:dyDescent="0.25">
      <c r="A1098" t="str">
        <f>"PINR-1200WW"</f>
        <v>PINR-1200WW</v>
      </c>
      <c r="B1098" t="str">
        <f>"PINLED, Spiegelleuchte, LED 34W, 3000K, Abdeckung rund, Länge 1200mm"</f>
        <v>PINLED, Spiegelleuchte, LED 34W, 3000K, Abdeckung rund, Länge 1200mm</v>
      </c>
      <c r="C1098" t="str">
        <f>"101"</f>
        <v>101</v>
      </c>
      <c r="D1098" s="1">
        <v>207.5</v>
      </c>
    </row>
    <row r="1099" spans="1:4" x14ac:dyDescent="0.25">
      <c r="A1099" t="str">
        <f>"PINR-1500NW"</f>
        <v>PINR-1500NW</v>
      </c>
      <c r="B1099" t="str">
        <f>"PINLED, Spiegelleuchte, LED 44W, 4000K, Abdeckung rund, Länge 1500mm"</f>
        <v>PINLED, Spiegelleuchte, LED 44W, 4000K, Abdeckung rund, Länge 1500mm</v>
      </c>
      <c r="C1099" t="str">
        <f t="shared" ref="C1099:C1107" si="57">"103"</f>
        <v>103</v>
      </c>
      <c r="D1099" s="1">
        <v>226.25</v>
      </c>
    </row>
    <row r="1100" spans="1:4" x14ac:dyDescent="0.25">
      <c r="A1100" t="str">
        <f>"PINR-1500SW"</f>
        <v>PINR-1500SW</v>
      </c>
      <c r="B1100" t="str">
        <f>"PINLED, Spiegelleuchte, LED 44W, 2700K, Abdeckung rund, Länge 1500mm"</f>
        <v>PINLED, Spiegelleuchte, LED 44W, 2700K, Abdeckung rund, Länge 1500mm</v>
      </c>
      <c r="C1100" t="str">
        <f t="shared" si="57"/>
        <v>103</v>
      </c>
      <c r="D1100" s="1">
        <v>226.25</v>
      </c>
    </row>
    <row r="1101" spans="1:4" x14ac:dyDescent="0.25">
      <c r="A1101" t="str">
        <f>"PINR-1500WW"</f>
        <v>PINR-1500WW</v>
      </c>
      <c r="B1101" t="str">
        <f>"PINLED, Spiegelleuchte, LED 44W, 3000K, Abdeckung rund, Länge 1500 mm"</f>
        <v>PINLED, Spiegelleuchte, LED 44W, 3000K, Abdeckung rund, Länge 1500 mm</v>
      </c>
      <c r="C1101" t="str">
        <f t="shared" si="57"/>
        <v>103</v>
      </c>
      <c r="D1101" s="1">
        <v>226.25</v>
      </c>
    </row>
    <row r="1102" spans="1:4" x14ac:dyDescent="0.25">
      <c r="A1102" t="str">
        <f>"PINR-600NW"</f>
        <v>PINR-600NW</v>
      </c>
      <c r="B1102" t="str">
        <f>"PINLED, Spiegelleuchte, LED 17W, 4000K, Abdeckung rund, Länge 600 mm"</f>
        <v>PINLED, Spiegelleuchte, LED 17W, 4000K, Abdeckung rund, Länge 600 mm</v>
      </c>
      <c r="C1102" t="str">
        <f t="shared" si="57"/>
        <v>103</v>
      </c>
      <c r="D1102" s="1">
        <v>155.5</v>
      </c>
    </row>
    <row r="1103" spans="1:4" x14ac:dyDescent="0.25">
      <c r="A1103" t="str">
        <f>"PINR-600SW"</f>
        <v>PINR-600SW</v>
      </c>
      <c r="B1103" t="str">
        <f>"PINLED, Spiegelleuchte, LED 17W, 2700K, Abdeckung rund, Länge 600 mm"</f>
        <v>PINLED, Spiegelleuchte, LED 17W, 2700K, Abdeckung rund, Länge 600 mm</v>
      </c>
      <c r="C1103" t="str">
        <f t="shared" si="57"/>
        <v>103</v>
      </c>
      <c r="D1103" s="1">
        <v>155.5</v>
      </c>
    </row>
    <row r="1104" spans="1:4" x14ac:dyDescent="0.25">
      <c r="A1104" t="str">
        <f>"PINR-600WW"</f>
        <v>PINR-600WW</v>
      </c>
      <c r="B1104" t="str">
        <f>"PINLED, Spiegelleuchte, LED 17W, 3000K, Abdeckung rund, Länge 600 mm"</f>
        <v>PINLED, Spiegelleuchte, LED 17W, 3000K, Abdeckung rund, Länge 600 mm</v>
      </c>
      <c r="C1104" t="str">
        <f t="shared" si="57"/>
        <v>103</v>
      </c>
      <c r="D1104" s="1">
        <v>155.5</v>
      </c>
    </row>
    <row r="1105" spans="1:4" x14ac:dyDescent="0.25">
      <c r="A1105" t="str">
        <f>"PINR-900NW"</f>
        <v>PINR-900NW</v>
      </c>
      <c r="B1105" t="str">
        <f>"PINLED, Spiegelleuchte, LED 26W, 4000K, Abdeckung rund, Länge 900 mm"</f>
        <v>PINLED, Spiegelleuchte, LED 26W, 4000K, Abdeckung rund, Länge 900 mm</v>
      </c>
      <c r="C1105" t="str">
        <f t="shared" si="57"/>
        <v>103</v>
      </c>
      <c r="D1105" s="1">
        <v>178.5</v>
      </c>
    </row>
    <row r="1106" spans="1:4" x14ac:dyDescent="0.25">
      <c r="A1106" t="str">
        <f>"PINR-900SW"</f>
        <v>PINR-900SW</v>
      </c>
      <c r="B1106" t="str">
        <f>"PINLED, Spiegelleuchte, LED 26W, 2700K, Abdeckung rund, Länge 900 mm"</f>
        <v>PINLED, Spiegelleuchte, LED 26W, 2700K, Abdeckung rund, Länge 900 mm</v>
      </c>
      <c r="C1106" t="str">
        <f t="shared" si="57"/>
        <v>103</v>
      </c>
      <c r="D1106" s="1">
        <v>178.5</v>
      </c>
    </row>
    <row r="1107" spans="1:4" x14ac:dyDescent="0.25">
      <c r="A1107" t="str">
        <f>"PINR-900WW"</f>
        <v>PINR-900WW</v>
      </c>
      <c r="B1107" t="str">
        <f>"PINLED, Spiegelleuchte, LED 26W, 3000K, Abdeckung rund, Länge 900 mm"</f>
        <v>PINLED, Spiegelleuchte, LED 26W, 3000K, Abdeckung rund, Länge 900 mm</v>
      </c>
      <c r="C1107" t="str">
        <f t="shared" si="57"/>
        <v>103</v>
      </c>
      <c r="D1107" s="1">
        <v>178.5</v>
      </c>
    </row>
    <row r="1108" spans="1:4" x14ac:dyDescent="0.25">
      <c r="A1108" t="str">
        <f>"PLG-30SW1"</f>
        <v>PLG-30SW1</v>
      </c>
      <c r="B1108" t="str">
        <f>"Pendelleuchte LED 30W, 2700K, 700mA, CRI&gt;80, mit Glasreflektor, weiss"</f>
        <v>Pendelleuchte LED 30W, 2700K, 700mA, CRI&gt;80, mit Glasreflektor, weiss</v>
      </c>
      <c r="C1108" t="str">
        <f t="shared" ref="C1108:C1115" si="58">"141"</f>
        <v>141</v>
      </c>
      <c r="D1108" s="1">
        <v>230</v>
      </c>
    </row>
    <row r="1109" spans="1:4" x14ac:dyDescent="0.25">
      <c r="A1109" t="str">
        <f>"PLG-30SW11"</f>
        <v>PLG-30SW11</v>
      </c>
      <c r="B1109" t="str">
        <f>"Pendelleuchte LED 30W, 2700K, 700mA, CRI&gt;80, mit Glasreflektor, weiss"</f>
        <v>Pendelleuchte LED 30W, 2700K, 700mA, CRI&gt;80, mit Glasreflektor, weiss</v>
      </c>
      <c r="C1109" t="str">
        <f t="shared" si="58"/>
        <v>141</v>
      </c>
      <c r="D1109" s="1">
        <v>260</v>
      </c>
    </row>
    <row r="1110" spans="1:4" x14ac:dyDescent="0.25">
      <c r="A1110" t="str">
        <f>"PLG-30WW1"</f>
        <v>PLG-30WW1</v>
      </c>
      <c r="B1110" t="str">
        <f>"Pendelleuchte LED 30W, 3000K, 700mA, CRI&gt;80, mit Glasreflektor, weiss"</f>
        <v>Pendelleuchte LED 30W, 3000K, 700mA, CRI&gt;80, mit Glasreflektor, weiss</v>
      </c>
      <c r="C1110" t="str">
        <f t="shared" si="58"/>
        <v>141</v>
      </c>
      <c r="D1110" s="1">
        <v>230</v>
      </c>
    </row>
    <row r="1111" spans="1:4" x14ac:dyDescent="0.25">
      <c r="A1111" t="str">
        <f>"PLG-30WW11"</f>
        <v>PLG-30WW11</v>
      </c>
      <c r="B1111" t="str">
        <f>"Pendelleuchte LED 30W, 3000K, 700mA, CRI&gt;80, mit Glasreflektor, weiss"</f>
        <v>Pendelleuchte LED 30W, 3000K, 700mA, CRI&gt;80, mit Glasreflektor, weiss</v>
      </c>
      <c r="C1111" t="str">
        <f t="shared" si="58"/>
        <v>141</v>
      </c>
      <c r="D1111" s="1">
        <v>260</v>
      </c>
    </row>
    <row r="1112" spans="1:4" x14ac:dyDescent="0.25">
      <c r="A1112" t="str">
        <f>"PLM-30SW1"</f>
        <v>PLM-30SW1</v>
      </c>
      <c r="B1112" t="str">
        <f>"PLM, Pendelleuchte LED 30W, 2700K, 700mA, CRI &gt;80, mit Metallreflektor, weiss"</f>
        <v>PLM, Pendelleuchte LED 30W, 2700K, 700mA, CRI &gt;80, mit Metallreflektor, weiss</v>
      </c>
      <c r="C1112" t="str">
        <f t="shared" si="58"/>
        <v>141</v>
      </c>
      <c r="D1112" s="1">
        <v>220</v>
      </c>
    </row>
    <row r="1113" spans="1:4" x14ac:dyDescent="0.25">
      <c r="A1113" t="str">
        <f>"PLM-30SW11"</f>
        <v>PLM-30SW11</v>
      </c>
      <c r="B1113" t="str">
        <f>"PLM, Pendelleuchte LED 30W, 2700K, 700mA, CRI &gt;80, mit Metallreflektor, weiss"</f>
        <v>PLM, Pendelleuchte LED 30W, 2700K, 700mA, CRI &gt;80, mit Metallreflektor, weiss</v>
      </c>
      <c r="C1113" t="str">
        <f t="shared" si="58"/>
        <v>141</v>
      </c>
      <c r="D1113" s="1">
        <v>250</v>
      </c>
    </row>
    <row r="1114" spans="1:4" x14ac:dyDescent="0.25">
      <c r="A1114" t="str">
        <f>"PLM-30WW1"</f>
        <v>PLM-30WW1</v>
      </c>
      <c r="B1114" t="str">
        <f>"PLM, Pendelleuchte LED 30W, 3000K, 700mA, CRI &gt;80, mit Metallreflektor, weiss"</f>
        <v>PLM, Pendelleuchte LED 30W, 3000K, 700mA, CRI &gt;80, mit Metallreflektor, weiss</v>
      </c>
      <c r="C1114" t="str">
        <f t="shared" si="58"/>
        <v>141</v>
      </c>
      <c r="D1114" s="1">
        <v>220</v>
      </c>
    </row>
    <row r="1115" spans="1:4" x14ac:dyDescent="0.25">
      <c r="A1115" t="str">
        <f>"PLM-30WW11"</f>
        <v>PLM-30WW11</v>
      </c>
      <c r="B1115" t="str">
        <f>"PLM, Pendelleuchte LED 30W, 3000K, 700mA, CRI &gt;80, mit Metallreflektor, weiss"</f>
        <v>PLM, Pendelleuchte LED 30W, 3000K, 700mA, CRI &gt;80, mit Metallreflektor, weiss</v>
      </c>
      <c r="C1115" t="str">
        <f t="shared" si="58"/>
        <v>141</v>
      </c>
      <c r="D1115" s="1">
        <v>250</v>
      </c>
    </row>
    <row r="1116" spans="1:4" x14ac:dyDescent="0.25">
      <c r="A1116" t="str">
        <f>"PRO-A-2K"</f>
        <v>PRO-A-2K</v>
      </c>
      <c r="B1116" t="str">
        <f>"PROMLED PRO, Abdeckung klar 2020 mm"</f>
        <v>PROMLED PRO, Abdeckung klar 2020 mm</v>
      </c>
      <c r="C1116" t="str">
        <f>"113"</f>
        <v>113</v>
      </c>
      <c r="D1116" s="1">
        <v>15</v>
      </c>
    </row>
    <row r="1117" spans="1:4" x14ac:dyDescent="0.25">
      <c r="A1117" t="str">
        <f>"PRO-A-2O"</f>
        <v>PRO-A-2O</v>
      </c>
      <c r="B1117" t="str">
        <f>"PROMLED PRO, Abdeckung opal 2020 mm"</f>
        <v>PROMLED PRO, Abdeckung opal 2020 mm</v>
      </c>
      <c r="C1117" t="str">
        <f>"113"</f>
        <v>113</v>
      </c>
      <c r="D1117" s="1">
        <v>15</v>
      </c>
    </row>
    <row r="1118" spans="1:4" x14ac:dyDescent="0.25">
      <c r="A1118" t="str">
        <f>"PRO-A-6O"</f>
        <v>PRO-A-6O</v>
      </c>
      <c r="B1118" t="str">
        <f>"PROMLED PRO, Abdeckung opal 6023mm +/-3mm"</f>
        <v>PROMLED PRO, Abdeckung opal 6023mm +/-3mm</v>
      </c>
      <c r="C1118" t="str">
        <f>"113"</f>
        <v>113</v>
      </c>
      <c r="D1118" s="1">
        <v>45</v>
      </c>
    </row>
    <row r="1119" spans="1:4" x14ac:dyDescent="0.25">
      <c r="A1119" t="str">
        <f>"PRO-DO-AUS"</f>
        <v>PRO-DO-AUS</v>
      </c>
      <c r="B1119" t="str">
        <f>"PROMLED DEKO ONE, Ausspeiser 1,2 m"</f>
        <v>PROMLED DEKO ONE, Ausspeiser 1,2 m</v>
      </c>
      <c r="C1119" t="str">
        <f t="shared" ref="C1119:C1126" si="59">"123"</f>
        <v>123</v>
      </c>
      <c r="D1119" s="1">
        <v>17.75</v>
      </c>
    </row>
    <row r="1120" spans="1:4" x14ac:dyDescent="0.25">
      <c r="A1120" t="str">
        <f>"PRO-DO-EIN"</f>
        <v>PRO-DO-EIN</v>
      </c>
      <c r="B1120" t="str">
        <f>"PROMLED DEKO ONE, Einspeiser 1,2 m"</f>
        <v>PROMLED DEKO ONE, Einspeiser 1,2 m</v>
      </c>
      <c r="C1120" t="str">
        <f t="shared" si="59"/>
        <v>123</v>
      </c>
      <c r="D1120" s="1">
        <v>17.75</v>
      </c>
    </row>
    <row r="1121" spans="1:4" x14ac:dyDescent="0.25">
      <c r="A1121" t="str">
        <f>"PRO-DO-FV"</f>
        <v>PRO-DO-FV</v>
      </c>
      <c r="B1121" t="str">
        <f>"PROMLED DEKO ONE, Flex-Verbinder 6 cm"</f>
        <v>PROMLED DEKO ONE, Flex-Verbinder 6 cm</v>
      </c>
      <c r="C1121" t="str">
        <f t="shared" si="59"/>
        <v>123</v>
      </c>
      <c r="D1121" s="1">
        <v>19.5</v>
      </c>
    </row>
    <row r="1122" spans="1:4" x14ac:dyDescent="0.25">
      <c r="A1122" t="str">
        <f>"PRO-DO-T"</f>
        <v>PRO-DO-T</v>
      </c>
      <c r="B1122" t="str">
        <f>"PROMLED DEKO ONE, T-Verbinder 0,05 m"</f>
        <v>PROMLED DEKO ONE, T-Verbinder 0,05 m</v>
      </c>
      <c r="C1122" t="str">
        <f t="shared" si="59"/>
        <v>123</v>
      </c>
      <c r="D1122" s="1">
        <v>30</v>
      </c>
    </row>
    <row r="1123" spans="1:4" x14ac:dyDescent="0.25">
      <c r="A1123" t="str">
        <f>"PRO-DO-12A"</f>
        <v>PRO-DO-12A</v>
      </c>
      <c r="B1123" t="str">
        <f>"PROMLED DEKO ONE, 12 x LED 0,12 amber"</f>
        <v>PROMLED DEKO ONE, 12 x LED 0,12 amber</v>
      </c>
      <c r="C1123" t="str">
        <f t="shared" si="59"/>
        <v>123</v>
      </c>
      <c r="D1123" s="1">
        <v>32</v>
      </c>
    </row>
    <row r="1124" spans="1:4" x14ac:dyDescent="0.25">
      <c r="A1124" t="str">
        <f>"PRO-DO-12B"</f>
        <v>PRO-DO-12B</v>
      </c>
      <c r="B1124" t="str">
        <f>"PROMLED DEKO ONE, 12 x LED 0,12 blau"</f>
        <v>PROMLED DEKO ONE, 12 x LED 0,12 blau</v>
      </c>
      <c r="C1124" t="str">
        <f t="shared" si="59"/>
        <v>123</v>
      </c>
      <c r="D1124" s="1">
        <v>32</v>
      </c>
    </row>
    <row r="1125" spans="1:4" x14ac:dyDescent="0.25">
      <c r="A1125" t="str">
        <f>"PRO-DO-24A"</f>
        <v>PRO-DO-24A</v>
      </c>
      <c r="B1125" t="str">
        <f>"PROMLED DEKO ONE, 24 x LED 0,12 amber"</f>
        <v>PROMLED DEKO ONE, 24 x LED 0,12 amber</v>
      </c>
      <c r="C1125" t="str">
        <f t="shared" si="59"/>
        <v>123</v>
      </c>
      <c r="D1125" s="1">
        <v>42.5</v>
      </c>
    </row>
    <row r="1126" spans="1:4" x14ac:dyDescent="0.25">
      <c r="A1126" t="str">
        <f>"PRO-DO-24B"</f>
        <v>PRO-DO-24B</v>
      </c>
      <c r="B1126" t="str">
        <f>"PROMLED DEKO ONE, 24 x LED 0,12 blau"</f>
        <v>PROMLED DEKO ONE, 24 x LED 0,12 blau</v>
      </c>
      <c r="C1126" t="str">
        <f t="shared" si="59"/>
        <v>123</v>
      </c>
      <c r="D1126" s="1">
        <v>42.5</v>
      </c>
    </row>
    <row r="1127" spans="1:4" x14ac:dyDescent="0.25">
      <c r="A1127" t="str">
        <f>"PROE-HALT"</f>
        <v>PROE-HALT</v>
      </c>
      <c r="B1127" t="str">
        <f>"Halterungsset für PROE-Alu-Profil mit 2 Klammern"</f>
        <v>Halterungsset für PROE-Alu-Profil mit 2 Klammern</v>
      </c>
      <c r="C1127" t="str">
        <f>"113"</f>
        <v>113</v>
      </c>
      <c r="D1127" s="1">
        <v>10</v>
      </c>
    </row>
    <row r="1128" spans="1:4" x14ac:dyDescent="0.25">
      <c r="A1128" t="str">
        <f>"PROE-P-2N"</f>
        <v>PROE-P-2N</v>
      </c>
      <c r="B1128" t="str">
        <f>"PROMLED PRO, Einbauprofil Aluminium 2020 mm, eloxiert"</f>
        <v>PROMLED PRO, Einbauprofil Aluminium 2020 mm, eloxiert</v>
      </c>
      <c r="C1128" t="str">
        <f>"113"</f>
        <v>113</v>
      </c>
      <c r="D1128" s="1">
        <v>55</v>
      </c>
    </row>
    <row r="1129" spans="1:4" x14ac:dyDescent="0.25">
      <c r="A1129" t="str">
        <f>"PROFLED-1200-40NW"</f>
        <v>PROFLED-1200-40NW</v>
      </c>
      <c r="B1129" t="str">
        <f>"PROFLED Prem., Feuchtraumprofilleuchte, 40W, 4000K, 1220mm"</f>
        <v>PROFLED Prem., Feuchtraumprofilleuchte, 40W, 4000K, 1220mm</v>
      </c>
      <c r="C1129" t="str">
        <f t="shared" ref="C1129:C1138" si="60">"107"</f>
        <v>107</v>
      </c>
      <c r="D1129" s="1">
        <v>150</v>
      </c>
    </row>
    <row r="1130" spans="1:4" x14ac:dyDescent="0.25">
      <c r="A1130" t="str">
        <f>"PROFLED-1200-40NW-DV"</f>
        <v>PROFLED-1200-40NW-DV</v>
      </c>
      <c r="B1130" t="str">
        <f>"PROFLED Prem., Feuchtraumprofilleuchte, 40W, 4000K, 1220mm, mit DV"</f>
        <v>PROFLED Prem., Feuchtraumprofilleuchte, 40W, 4000K, 1220mm, mit DV</v>
      </c>
      <c r="C1130" t="str">
        <f t="shared" si="60"/>
        <v>107</v>
      </c>
      <c r="D1130" s="1">
        <v>162.5</v>
      </c>
    </row>
    <row r="1131" spans="1:4" x14ac:dyDescent="0.25">
      <c r="A1131" t="str">
        <f>"PROFLED-1200-41NW"</f>
        <v>PROFLED-1200-41NW</v>
      </c>
      <c r="B1131" t="str">
        <f>"PROFLED, Feuchtraumprofilleuchte, 41W, 4000K, 1220mm"</f>
        <v>PROFLED, Feuchtraumprofilleuchte, 41W, 4000K, 1220mm</v>
      </c>
      <c r="C1131" t="str">
        <f t="shared" si="60"/>
        <v>107</v>
      </c>
      <c r="D1131" s="1">
        <v>87.5</v>
      </c>
    </row>
    <row r="1132" spans="1:4" x14ac:dyDescent="0.25">
      <c r="A1132" t="str">
        <f>"PROFLED-1200-41NW-DV"</f>
        <v>PROFLED-1200-41NW-DV</v>
      </c>
      <c r="B1132" t="str">
        <f>"PROFLED, Feuchtraumprofilleuchte, 41W, 4000K, 1220mm, mit DV"</f>
        <v>PROFLED, Feuchtraumprofilleuchte, 41W, 4000K, 1220mm, mit DV</v>
      </c>
      <c r="C1132" t="str">
        <f t="shared" si="60"/>
        <v>107</v>
      </c>
      <c r="D1132" s="1">
        <v>100</v>
      </c>
    </row>
    <row r="1133" spans="1:4" x14ac:dyDescent="0.25">
      <c r="A1133" t="str">
        <f>"PROFLED-1500-30NW"</f>
        <v>PROFLED-1500-30NW</v>
      </c>
      <c r="B1133" t="str">
        <f>"PROFLED, Feuchtraumprofilleuchte, 30W, 4000K, 1520mm"</f>
        <v>PROFLED, Feuchtraumprofilleuchte, 30W, 4000K, 1520mm</v>
      </c>
      <c r="C1133" t="str">
        <f t="shared" si="60"/>
        <v>107</v>
      </c>
      <c r="D1133" s="1">
        <v>109</v>
      </c>
    </row>
    <row r="1134" spans="1:4" x14ac:dyDescent="0.25">
      <c r="A1134" t="str">
        <f>"PROFLED-1500-30NW-DV"</f>
        <v>PROFLED-1500-30NW-DV</v>
      </c>
      <c r="B1134" t="str">
        <f>"PROFLED, Feuchtraumprofilleuchte, 30W, 4000K, 1520mm, mit DV"</f>
        <v>PROFLED, Feuchtraumprofilleuchte, 30W, 4000K, 1520mm, mit DV</v>
      </c>
      <c r="C1134" t="str">
        <f t="shared" si="60"/>
        <v>107</v>
      </c>
      <c r="D1134" s="1">
        <v>122</v>
      </c>
    </row>
    <row r="1135" spans="1:4" x14ac:dyDescent="0.25">
      <c r="A1135" t="str">
        <f>"PROFLED-1500-49NW"</f>
        <v>PROFLED-1500-49NW</v>
      </c>
      <c r="B1135" t="str">
        <f>"PROFLED Prem., Feuchtraumprofilleuchte, 49W, 4000K, 1520mm"</f>
        <v>PROFLED Prem., Feuchtraumprofilleuchte, 49W, 4000K, 1520mm</v>
      </c>
      <c r="C1135" t="str">
        <f t="shared" si="60"/>
        <v>107</v>
      </c>
      <c r="D1135" s="1">
        <v>170</v>
      </c>
    </row>
    <row r="1136" spans="1:4" x14ac:dyDescent="0.25">
      <c r="A1136" t="str">
        <f>"PROFLED-1500-49NW-DV"</f>
        <v>PROFLED-1500-49NW-DV</v>
      </c>
      <c r="B1136" t="str">
        <f>"PROFLED Prem., Feuchtraumprofilleuchte, 49W, 4000K, 1520mm, mit DV"</f>
        <v>PROFLED Prem., Feuchtraumprofilleuchte, 49W, 4000K, 1520mm, mit DV</v>
      </c>
      <c r="C1136" t="str">
        <f t="shared" si="60"/>
        <v>107</v>
      </c>
      <c r="D1136" s="1">
        <v>183</v>
      </c>
    </row>
    <row r="1137" spans="1:4" x14ac:dyDescent="0.25">
      <c r="A1137" t="str">
        <f>"PROFLED-1500-50NW"</f>
        <v>PROFLED-1500-50NW</v>
      </c>
      <c r="B1137" t="str">
        <f>"PROFLED, Feuchtraumprofilleuchte, 50W, 4000K, 1520mm"</f>
        <v>PROFLED, Feuchtraumprofilleuchte, 50W, 4000K, 1520mm</v>
      </c>
      <c r="C1137" t="str">
        <f t="shared" si="60"/>
        <v>107</v>
      </c>
      <c r="D1137" s="1">
        <v>105</v>
      </c>
    </row>
    <row r="1138" spans="1:4" x14ac:dyDescent="0.25">
      <c r="A1138" t="str">
        <f>"PROFLED-1500-50NW-DV"</f>
        <v>PROFLED-1500-50NW-DV</v>
      </c>
      <c r="B1138" t="str">
        <f>"PROFLED, Feuchtraumprofilleuchte, 50W, 4000K, 1520mm, mit DV"</f>
        <v>PROFLED, Feuchtraumprofilleuchte, 50W, 4000K, 1520mm, mit DV</v>
      </c>
      <c r="C1138" t="str">
        <f t="shared" si="60"/>
        <v>107</v>
      </c>
      <c r="D1138" s="1">
        <v>118</v>
      </c>
    </row>
    <row r="1139" spans="1:4" x14ac:dyDescent="0.25">
      <c r="A1139" t="str">
        <f>"PRON-DO-EIN"</f>
        <v>PRON-DO-EIN</v>
      </c>
      <c r="B1139" t="str">
        <f>"PROMLED DEKO ONE, Einspeiser 1,2 m, schwarz"</f>
        <v>PROMLED DEKO ONE, Einspeiser 1,2 m, schwarz</v>
      </c>
      <c r="C1139" t="str">
        <f t="shared" ref="C1139:C1144" si="61">"123"</f>
        <v>123</v>
      </c>
      <c r="D1139" s="1">
        <v>17.75</v>
      </c>
    </row>
    <row r="1140" spans="1:4" x14ac:dyDescent="0.25">
      <c r="A1140" t="str">
        <f>"PRON-DO-FV"</f>
        <v>PRON-DO-FV</v>
      </c>
      <c r="B1140" t="str">
        <f>"PROMLED DEKO ONE, Flex-Verbinder 10cm"</f>
        <v>PROMLED DEKO ONE, Flex-Verbinder 10cm</v>
      </c>
      <c r="C1140" t="str">
        <f t="shared" si="61"/>
        <v>123</v>
      </c>
      <c r="D1140" s="1">
        <v>21.25</v>
      </c>
    </row>
    <row r="1141" spans="1:4" x14ac:dyDescent="0.25">
      <c r="A1141" t="str">
        <f>"PRON-DO-12CW"</f>
        <v>PRON-DO-12CW</v>
      </c>
      <c r="B1141" t="str">
        <f>"PROMLED DEKO ONE, 12 x LED 0,06 kaltweiss"</f>
        <v>PROMLED DEKO ONE, 12 x LED 0,06 kaltweiss</v>
      </c>
      <c r="C1141" t="str">
        <f t="shared" si="61"/>
        <v>123</v>
      </c>
      <c r="D1141" s="1">
        <v>25.25</v>
      </c>
    </row>
    <row r="1142" spans="1:4" x14ac:dyDescent="0.25">
      <c r="A1142" t="str">
        <f>"PRON-DO-12WW"</f>
        <v>PRON-DO-12WW</v>
      </c>
      <c r="B1142" t="str">
        <f>"PROMLED DEKO ONE, 12 x LED 0,06 warmweiss"</f>
        <v>PROMLED DEKO ONE, 12 x LED 0,06 warmweiss</v>
      </c>
      <c r="C1142" t="str">
        <f t="shared" si="61"/>
        <v>123</v>
      </c>
      <c r="D1142" s="1">
        <v>25.25</v>
      </c>
    </row>
    <row r="1143" spans="1:4" x14ac:dyDescent="0.25">
      <c r="A1143" t="str">
        <f>"PRON-DO-24CW"</f>
        <v>PRON-DO-24CW</v>
      </c>
      <c r="B1143" t="str">
        <f>"PROMLED DEKO ONE, 24 x LED 0,06W, kaltweiss"</f>
        <v>PROMLED DEKO ONE, 24 x LED 0,06W, kaltweiss</v>
      </c>
      <c r="C1143" t="str">
        <f t="shared" si="61"/>
        <v>123</v>
      </c>
      <c r="D1143" s="1">
        <v>30</v>
      </c>
    </row>
    <row r="1144" spans="1:4" x14ac:dyDescent="0.25">
      <c r="A1144" t="str">
        <f>"PRON-DO-24WW"</f>
        <v>PRON-DO-24WW</v>
      </c>
      <c r="B1144" t="str">
        <f>"PROMLED DEKO ONE, 24 x LED 0,06 warmweiss"</f>
        <v>PROMLED DEKO ONE, 24 x LED 0,06 warmweiss</v>
      </c>
      <c r="C1144" t="str">
        <f t="shared" si="61"/>
        <v>123</v>
      </c>
      <c r="D1144" s="1">
        <v>30</v>
      </c>
    </row>
    <row r="1145" spans="1:4" x14ac:dyDescent="0.25">
      <c r="A1145" t="str">
        <f>"PSLD100-1200NW1O"</f>
        <v>PSLD100-1200NW1O</v>
      </c>
      <c r="B1145" t="str">
        <f>"PSLD100, Pendelleuchte, LED 33W direkter Lichtaustritt, 4000K, Op"</f>
        <v>PSLD100, Pendelleuchte, LED 33W direkter Lichtaustritt, 4000K, Op</v>
      </c>
      <c r="C1145" t="str">
        <f t="shared" ref="C1145:C1167" si="62">"41"</f>
        <v>41</v>
      </c>
      <c r="D1145" s="1">
        <v>405</v>
      </c>
    </row>
    <row r="1146" spans="1:4" x14ac:dyDescent="0.25">
      <c r="A1146" t="str">
        <f>"PSLD100-1200NW2O"</f>
        <v>PSLD100-1200NW2O</v>
      </c>
      <c r="B1146" t="str">
        <f>"PSLD100 Pendelleuchte, LED 33W direkter Lichtaustritt, 4000K, Op"</f>
        <v>PSLD100 Pendelleuchte, LED 33W direkter Lichtaustritt, 4000K, Op</v>
      </c>
      <c r="C1146" t="str">
        <f t="shared" si="62"/>
        <v>41</v>
      </c>
      <c r="D1146" s="1">
        <v>405</v>
      </c>
    </row>
    <row r="1147" spans="1:4" x14ac:dyDescent="0.25">
      <c r="A1147" t="str">
        <f>"PSLD100-1200SW1O"</f>
        <v>PSLD100-1200SW1O</v>
      </c>
      <c r="B1147" t="str">
        <f>"PSLD100 Pendelleuchte, LED 33W direkter Lichtaustritt, 2700K, Op"</f>
        <v>PSLD100 Pendelleuchte, LED 33W direkter Lichtaustritt, 2700K, Op</v>
      </c>
      <c r="C1147" t="str">
        <f t="shared" si="62"/>
        <v>41</v>
      </c>
      <c r="D1147" s="1">
        <v>405</v>
      </c>
    </row>
    <row r="1148" spans="1:4" x14ac:dyDescent="0.25">
      <c r="A1148" t="str">
        <f>"PSLD100-1200SW2O"</f>
        <v>PSLD100-1200SW2O</v>
      </c>
      <c r="B1148" t="str">
        <f>"PSLD100 Pendelleuchte, LED 33W direkter Lichtaustritt, 2700K, Op"</f>
        <v>PSLD100 Pendelleuchte, LED 33W direkter Lichtaustritt, 2700K, Op</v>
      </c>
      <c r="C1148" t="str">
        <f t="shared" si="62"/>
        <v>41</v>
      </c>
      <c r="D1148" s="1">
        <v>405</v>
      </c>
    </row>
    <row r="1149" spans="1:4" x14ac:dyDescent="0.25">
      <c r="A1149" t="str">
        <f>"PSLD100-1200SW7O"</f>
        <v>PSLD100-1200SW7O</v>
      </c>
      <c r="B1149" t="str">
        <f>"PSLD100 Pendelleuchte, LED 33W direkter Lichtaustritt, 2700K, Op"</f>
        <v>PSLD100 Pendelleuchte, LED 33W direkter Lichtaustritt, 2700K, Op</v>
      </c>
      <c r="C1149" t="str">
        <f t="shared" si="62"/>
        <v>41</v>
      </c>
      <c r="D1149" s="1">
        <v>405</v>
      </c>
    </row>
    <row r="1150" spans="1:4" x14ac:dyDescent="0.25">
      <c r="A1150" t="str">
        <f>"PSLD100-1200WW1O"</f>
        <v>PSLD100-1200WW1O</v>
      </c>
      <c r="B1150" t="str">
        <f>"PSLD100 Pendelleuchte, LED 33W direkter Lichtaustritt, 3000K, Op"</f>
        <v>PSLD100 Pendelleuchte, LED 33W direkter Lichtaustritt, 3000K, Op</v>
      </c>
      <c r="C1150" t="str">
        <f t="shared" si="62"/>
        <v>41</v>
      </c>
      <c r="D1150" s="1">
        <v>405</v>
      </c>
    </row>
    <row r="1151" spans="1:4" x14ac:dyDescent="0.25">
      <c r="A1151" t="str">
        <f>"PSLD100-1200WW2O"</f>
        <v>PSLD100-1200WW2O</v>
      </c>
      <c r="B1151" t="str">
        <f>"PSLD100 Pendelleuchte, LED 33W direkter Lichtaustritt, 3000K, Op"</f>
        <v>PSLD100 Pendelleuchte, LED 33W direkter Lichtaustritt, 3000K, Op</v>
      </c>
      <c r="C1151" t="str">
        <f t="shared" si="62"/>
        <v>41</v>
      </c>
      <c r="D1151" s="1">
        <v>405</v>
      </c>
    </row>
    <row r="1152" spans="1:4" x14ac:dyDescent="0.25">
      <c r="A1152" t="str">
        <f>"PSLD100-1200WW7O"</f>
        <v>PSLD100-1200WW7O</v>
      </c>
      <c r="B1152" t="str">
        <f>"PSLD100 Pendelleuchte, LED 33W direkter Lichtaustritt, 3000K, Op"</f>
        <v>PSLD100 Pendelleuchte, LED 33W direkter Lichtaustritt, 3000K, Op</v>
      </c>
      <c r="C1152" t="str">
        <f t="shared" si="62"/>
        <v>41</v>
      </c>
      <c r="D1152" s="1">
        <v>405</v>
      </c>
    </row>
    <row r="1153" spans="1:4" x14ac:dyDescent="0.25">
      <c r="A1153" t="str">
        <f>"PSLD100-1500NW1O"</f>
        <v>PSLD100-1500NW1O</v>
      </c>
      <c r="B1153" t="str">
        <f>"PSLD100, Pendelleuchte, LED 42W direkter Lichtaustritt, 4000K, Op"</f>
        <v>PSLD100, Pendelleuchte, LED 42W direkter Lichtaustritt, 4000K, Op</v>
      </c>
      <c r="C1153" t="str">
        <f t="shared" si="62"/>
        <v>41</v>
      </c>
      <c r="D1153" s="1">
        <v>453</v>
      </c>
    </row>
    <row r="1154" spans="1:4" x14ac:dyDescent="0.25">
      <c r="A1154" t="str">
        <f>"PSLD100-1500NW2O"</f>
        <v>PSLD100-1500NW2O</v>
      </c>
      <c r="B1154" t="str">
        <f>"PSLD100, Pendelleuchte, LED 42W direkter Lichtaustritt, 4000K, Op"</f>
        <v>PSLD100, Pendelleuchte, LED 42W direkter Lichtaustritt, 4000K, Op</v>
      </c>
      <c r="C1154" t="str">
        <f t="shared" si="62"/>
        <v>41</v>
      </c>
      <c r="D1154" s="1">
        <v>453</v>
      </c>
    </row>
    <row r="1155" spans="1:4" x14ac:dyDescent="0.25">
      <c r="A1155" t="str">
        <f>"PSLD100-1500NW7O"</f>
        <v>PSLD100-1500NW7O</v>
      </c>
      <c r="B1155" t="str">
        <f>"PSLD100, Pendelleuchte, LED 42W direkter Lichtaustritt, 3000K, Op"</f>
        <v>PSLD100, Pendelleuchte, LED 42W direkter Lichtaustritt, 3000K, Op</v>
      </c>
      <c r="C1155" t="str">
        <f t="shared" si="62"/>
        <v>41</v>
      </c>
      <c r="D1155" s="1">
        <v>453</v>
      </c>
    </row>
    <row r="1156" spans="1:4" x14ac:dyDescent="0.25">
      <c r="A1156" t="str">
        <f>"PSLD100-1500SW1O"</f>
        <v>PSLD100-1500SW1O</v>
      </c>
      <c r="B1156" t="str">
        <f>"PSLD100, Pendelleuchte, LED 42W direkter Lichtaustritt, 2700K, Op"</f>
        <v>PSLD100, Pendelleuchte, LED 42W direkter Lichtaustritt, 2700K, Op</v>
      </c>
      <c r="C1156" t="str">
        <f t="shared" si="62"/>
        <v>41</v>
      </c>
      <c r="D1156" s="1">
        <v>453</v>
      </c>
    </row>
    <row r="1157" spans="1:4" x14ac:dyDescent="0.25">
      <c r="A1157" t="str">
        <f>"PSLD100-1500SW2O"</f>
        <v>PSLD100-1500SW2O</v>
      </c>
      <c r="B1157" t="str">
        <f>"PSLD100, Pendelleuchte, LED 42W direkter Lichtaustritt, 2700K, Op"</f>
        <v>PSLD100, Pendelleuchte, LED 42W direkter Lichtaustritt, 2700K, Op</v>
      </c>
      <c r="C1157" t="str">
        <f t="shared" si="62"/>
        <v>41</v>
      </c>
      <c r="D1157" s="1">
        <v>453</v>
      </c>
    </row>
    <row r="1158" spans="1:4" x14ac:dyDescent="0.25">
      <c r="A1158" t="str">
        <f>"PSLD100-1500SW7O"</f>
        <v>PSLD100-1500SW7O</v>
      </c>
      <c r="B1158" t="str">
        <f>"PSLD100, Pendelleuchte, LED 42W direkter Lichtaustritt, 2700K, Op"</f>
        <v>PSLD100, Pendelleuchte, LED 42W direkter Lichtaustritt, 2700K, Op</v>
      </c>
      <c r="C1158" t="str">
        <f t="shared" si="62"/>
        <v>41</v>
      </c>
      <c r="D1158" s="1">
        <v>453</v>
      </c>
    </row>
    <row r="1159" spans="1:4" x14ac:dyDescent="0.25">
      <c r="A1159" t="str">
        <f>"PSLD100-1500WW1O"</f>
        <v>PSLD100-1500WW1O</v>
      </c>
      <c r="B1159" t="str">
        <f>"PSLD100, Pendelleuchte, LED 42W direkter Lichtaustritt, 3000K, Op"</f>
        <v>PSLD100, Pendelleuchte, LED 42W direkter Lichtaustritt, 3000K, Op</v>
      </c>
      <c r="C1159" t="str">
        <f t="shared" si="62"/>
        <v>41</v>
      </c>
      <c r="D1159" s="1">
        <v>453</v>
      </c>
    </row>
    <row r="1160" spans="1:4" x14ac:dyDescent="0.25">
      <c r="A1160" t="str">
        <f>"PSLD100-1500WW2O"</f>
        <v>PSLD100-1500WW2O</v>
      </c>
      <c r="B1160" t="str">
        <f>"PSLD100, Pendelleuchte, LED 42W direkter Lichtaustritt, 3000K, Op"</f>
        <v>PSLD100, Pendelleuchte, LED 42W direkter Lichtaustritt, 3000K, Op</v>
      </c>
      <c r="C1160" t="str">
        <f t="shared" si="62"/>
        <v>41</v>
      </c>
      <c r="D1160" s="1">
        <v>453</v>
      </c>
    </row>
    <row r="1161" spans="1:4" x14ac:dyDescent="0.25">
      <c r="A1161" t="str">
        <f>"PSLD100-1500WW7O"</f>
        <v>PSLD100-1500WW7O</v>
      </c>
      <c r="B1161" t="str">
        <f>"PSLD100, Pendelleuchte, LED 42W direkter Lichtaustritt, 3000K, Op"</f>
        <v>PSLD100, Pendelleuchte, LED 42W direkter Lichtaustritt, 3000K, Op</v>
      </c>
      <c r="C1161" t="str">
        <f t="shared" si="62"/>
        <v>41</v>
      </c>
      <c r="D1161" s="1">
        <v>453</v>
      </c>
    </row>
    <row r="1162" spans="1:4" x14ac:dyDescent="0.25">
      <c r="A1162" t="str">
        <f>"PSLE-1200NW7O"</f>
        <v>PSLE-1200NW7O</v>
      </c>
      <c r="B1162" t="str">
        <f>"PSL Einbauleuchte, 33W, 4000K, opale Abdeckung, "</f>
        <v xml:space="preserve">PSL Einbauleuchte, 33W, 4000K, opale Abdeckung, </v>
      </c>
      <c r="C1162" t="str">
        <f t="shared" si="62"/>
        <v>41</v>
      </c>
      <c r="D1162" s="1">
        <v>340</v>
      </c>
    </row>
    <row r="1163" spans="1:4" x14ac:dyDescent="0.25">
      <c r="A1163" t="str">
        <f>"PSLE-1200SW7O"</f>
        <v>PSLE-1200SW7O</v>
      </c>
      <c r="B1163" t="str">
        <f>"PSL Einbauleuchte, 33W, 2700K, opale Abdeckung"</f>
        <v>PSL Einbauleuchte, 33W, 2700K, opale Abdeckung</v>
      </c>
      <c r="C1163" t="str">
        <f t="shared" si="62"/>
        <v>41</v>
      </c>
      <c r="D1163" s="1">
        <v>340</v>
      </c>
    </row>
    <row r="1164" spans="1:4" x14ac:dyDescent="0.25">
      <c r="A1164" t="str">
        <f>"PSLE-1200WW7O"</f>
        <v>PSLE-1200WW7O</v>
      </c>
      <c r="B1164" t="str">
        <f>"PSL Einbauleuchte, 33W, 3000K, opale Abdeckung"</f>
        <v>PSL Einbauleuchte, 33W, 3000K, opale Abdeckung</v>
      </c>
      <c r="C1164" t="str">
        <f t="shared" si="62"/>
        <v>41</v>
      </c>
      <c r="D1164" s="1">
        <v>340</v>
      </c>
    </row>
    <row r="1165" spans="1:4" x14ac:dyDescent="0.25">
      <c r="A1165" t="str">
        <f>"PSLE-1500NW7O"</f>
        <v>PSLE-1500NW7O</v>
      </c>
      <c r="B1165" t="str">
        <f>"PSL Einbauleuchte, 42W, 4000K, opale Abdeckung"</f>
        <v>PSL Einbauleuchte, 42W, 4000K, opale Abdeckung</v>
      </c>
      <c r="C1165" t="str">
        <f t="shared" si="62"/>
        <v>41</v>
      </c>
      <c r="D1165" s="1">
        <v>380</v>
      </c>
    </row>
    <row r="1166" spans="1:4" x14ac:dyDescent="0.25">
      <c r="A1166" t="str">
        <f>"PSLE-1500SW7O"</f>
        <v>PSLE-1500SW7O</v>
      </c>
      <c r="B1166" t="str">
        <f>"PSL Einbauleuchte, 42W, 2700K, opale Abdeckung"</f>
        <v>PSL Einbauleuchte, 42W, 2700K, opale Abdeckung</v>
      </c>
      <c r="C1166" t="str">
        <f t="shared" si="62"/>
        <v>41</v>
      </c>
      <c r="D1166" s="1">
        <v>380</v>
      </c>
    </row>
    <row r="1167" spans="1:4" x14ac:dyDescent="0.25">
      <c r="A1167" t="str">
        <f>"PSLE-1500WW7O"</f>
        <v>PSLE-1500WW7O</v>
      </c>
      <c r="B1167" t="str">
        <f>"PSL Einbauleuchte, 42W, 3000K, opale Abdeckung"</f>
        <v>PSL Einbauleuchte, 42W, 3000K, opale Abdeckung</v>
      </c>
      <c r="C1167" t="str">
        <f t="shared" si="62"/>
        <v>41</v>
      </c>
      <c r="D1167" s="1">
        <v>380</v>
      </c>
    </row>
    <row r="1168" spans="1:4" x14ac:dyDescent="0.25">
      <c r="A1168" t="str">
        <f>"PSLG123-1200NW1O"</f>
        <v>PSLG123-1200NW1O</v>
      </c>
      <c r="B1168" t="str">
        <f>"PSLG 123, Pendelleuchte, LED 44W, direkter/indirekter Lichtaustritt , 4000K, Op"</f>
        <v>PSLG 123, Pendelleuchte, LED 44W, direkter/indirekter Lichtaustritt , 4000K, Op</v>
      </c>
      <c r="C1168" t="str">
        <f t="shared" ref="C1168:C1218" si="63">"43"</f>
        <v>43</v>
      </c>
      <c r="D1168" s="1">
        <v>435</v>
      </c>
    </row>
    <row r="1169" spans="1:4" x14ac:dyDescent="0.25">
      <c r="A1169" t="str">
        <f>"PSLG123-1200NW2O"</f>
        <v>PSLG123-1200NW2O</v>
      </c>
      <c r="B1169" t="str">
        <f>"PSLG 123, Pendelleuchte, LED 44W, direkter/indirekter Lichtaustritt, 4000K, Op"</f>
        <v>PSLG 123, Pendelleuchte, LED 44W, direkter/indirekter Lichtaustritt, 4000K, Op</v>
      </c>
      <c r="C1169" t="str">
        <f t="shared" si="63"/>
        <v>43</v>
      </c>
      <c r="D1169" s="1">
        <v>435</v>
      </c>
    </row>
    <row r="1170" spans="1:4" x14ac:dyDescent="0.25">
      <c r="A1170" t="str">
        <f>"PSLG123-1200NW7O"</f>
        <v>PSLG123-1200NW7O</v>
      </c>
      <c r="B1170" t="str">
        <f>"PSLG 123, Pendelleuchte, LED 44W, direkter/indirekter Lichtaustritt , 4000K, Op"</f>
        <v>PSLG 123, Pendelleuchte, LED 44W, direkter/indirekter Lichtaustritt , 4000K, Op</v>
      </c>
      <c r="C1170" t="str">
        <f t="shared" si="63"/>
        <v>43</v>
      </c>
      <c r="D1170" s="1">
        <v>435</v>
      </c>
    </row>
    <row r="1171" spans="1:4" x14ac:dyDescent="0.25">
      <c r="A1171" t="str">
        <f>"PSLG123-1200SW1O"</f>
        <v>PSLG123-1200SW1O</v>
      </c>
      <c r="B1171" t="str">
        <f>"PSLG 123, Pendelleuchte, LED 44W, direkter/indirekter Lichtaustritt , 2700K, Op"</f>
        <v>PSLG 123, Pendelleuchte, LED 44W, direkter/indirekter Lichtaustritt , 2700K, Op</v>
      </c>
      <c r="C1171" t="str">
        <f t="shared" si="63"/>
        <v>43</v>
      </c>
      <c r="D1171" s="1">
        <v>435</v>
      </c>
    </row>
    <row r="1172" spans="1:4" x14ac:dyDescent="0.25">
      <c r="A1172" t="str">
        <f>"PSLG123-1200SW2O"</f>
        <v>PSLG123-1200SW2O</v>
      </c>
      <c r="B1172" t="str">
        <f>"PSLG 123, Pendelleuchte, LED 44W, direkter/indirekter Lichtaustritt, 2700K, Op"</f>
        <v>PSLG 123, Pendelleuchte, LED 44W, direkter/indirekter Lichtaustritt, 2700K, Op</v>
      </c>
      <c r="C1172" t="str">
        <f t="shared" si="63"/>
        <v>43</v>
      </c>
      <c r="D1172" s="1">
        <v>435</v>
      </c>
    </row>
    <row r="1173" spans="1:4" x14ac:dyDescent="0.25">
      <c r="A1173" t="str">
        <f>"PSLG123-1200SW7O"</f>
        <v>PSLG123-1200SW7O</v>
      </c>
      <c r="B1173" t="str">
        <f>"PSLG 123, Pendelleuchte, LED 44W, direkter/indirekter Lichtaustritt , 2700K, Op"</f>
        <v>PSLG 123, Pendelleuchte, LED 44W, direkter/indirekter Lichtaustritt , 2700K, Op</v>
      </c>
      <c r="C1173" t="str">
        <f t="shared" si="63"/>
        <v>43</v>
      </c>
      <c r="D1173" s="1">
        <v>435</v>
      </c>
    </row>
    <row r="1174" spans="1:4" x14ac:dyDescent="0.25">
      <c r="A1174" t="str">
        <f>"PSLG123-1200WW1O"</f>
        <v>PSLG123-1200WW1O</v>
      </c>
      <c r="B1174" t="str">
        <f>"PSLG 123, Pendelleuchte, LED 44W, direkter/indirekter Lichtaustritt, 3000K, Op"</f>
        <v>PSLG 123, Pendelleuchte, LED 44W, direkter/indirekter Lichtaustritt, 3000K, Op</v>
      </c>
      <c r="C1174" t="str">
        <f t="shared" si="63"/>
        <v>43</v>
      </c>
      <c r="D1174" s="1">
        <v>435</v>
      </c>
    </row>
    <row r="1175" spans="1:4" x14ac:dyDescent="0.25">
      <c r="A1175" t="str">
        <f>"PSLG123-1200WW2O"</f>
        <v>PSLG123-1200WW2O</v>
      </c>
      <c r="B1175" t="str">
        <f>"PSLG 123, Pendelleuchte, LED 44W, direkter/indirekter Lichtaustritt , 3000K, Op"</f>
        <v>PSLG 123, Pendelleuchte, LED 44W, direkter/indirekter Lichtaustritt , 3000K, Op</v>
      </c>
      <c r="C1175" t="str">
        <f t="shared" si="63"/>
        <v>43</v>
      </c>
      <c r="D1175" s="1">
        <v>435</v>
      </c>
    </row>
    <row r="1176" spans="1:4" x14ac:dyDescent="0.25">
      <c r="A1176" t="str">
        <f>"PSLG123-1200WW7O"</f>
        <v>PSLG123-1200WW7O</v>
      </c>
      <c r="B1176" t="str">
        <f>"PSLG 123, Pendelleuchte, LED 44W, direkter/indirekter Lichtaustritt , 3000K, Op"</f>
        <v>PSLG 123, Pendelleuchte, LED 44W, direkter/indirekter Lichtaustritt , 3000K, Op</v>
      </c>
      <c r="C1176" t="str">
        <f t="shared" si="63"/>
        <v>43</v>
      </c>
      <c r="D1176" s="1">
        <v>435</v>
      </c>
    </row>
    <row r="1177" spans="1:4" x14ac:dyDescent="0.25">
      <c r="A1177" t="str">
        <f>"PSLG123-1500NW1O"</f>
        <v>PSLG123-1500NW1O</v>
      </c>
      <c r="B1177" t="str">
        <f>"PSLG 123, Pendelleuchte, LED 57W, direkter/indirekter Lichtaustritt, 4000K, Op"</f>
        <v>PSLG 123, Pendelleuchte, LED 57W, direkter/indirekter Lichtaustritt, 4000K, Op</v>
      </c>
      <c r="C1177" t="str">
        <f t="shared" si="63"/>
        <v>43</v>
      </c>
      <c r="D1177" s="1">
        <v>517.5</v>
      </c>
    </row>
    <row r="1178" spans="1:4" x14ac:dyDescent="0.25">
      <c r="A1178" t="str">
        <f>"PSLG123-1500NW2O"</f>
        <v>PSLG123-1500NW2O</v>
      </c>
      <c r="B1178" t="str">
        <f>"PSLG 123, Pendelleuchte, LED 57W, direkter/indirekter Lichtaustritt, 4000K, Op"</f>
        <v>PSLG 123, Pendelleuchte, LED 57W, direkter/indirekter Lichtaustritt, 4000K, Op</v>
      </c>
      <c r="C1178" t="str">
        <f t="shared" si="63"/>
        <v>43</v>
      </c>
      <c r="D1178" s="1">
        <v>517.5</v>
      </c>
    </row>
    <row r="1179" spans="1:4" x14ac:dyDescent="0.25">
      <c r="A1179" t="str">
        <f>"PSLG123-1500NW7O"</f>
        <v>PSLG123-1500NW7O</v>
      </c>
      <c r="B1179" t="str">
        <f>"PSLG 123, Pendelleuchte, LED 57W, direkter/indirekter Lichtaustritt, 4000K, Op"</f>
        <v>PSLG 123, Pendelleuchte, LED 57W, direkter/indirekter Lichtaustritt, 4000K, Op</v>
      </c>
      <c r="C1179" t="str">
        <f t="shared" si="63"/>
        <v>43</v>
      </c>
      <c r="D1179" s="1">
        <v>517.5</v>
      </c>
    </row>
    <row r="1180" spans="1:4" x14ac:dyDescent="0.25">
      <c r="A1180" t="str">
        <f>"PSLG123-1500WW1O"</f>
        <v>PSLG123-1500WW1O</v>
      </c>
      <c r="B1180" t="str">
        <f>"PSLG 123, Pendelleuchte, LED 57W, direkter/indirekter Lichtaustritt, 3000K, Op"</f>
        <v>PSLG 123, Pendelleuchte, LED 57W, direkter/indirekter Lichtaustritt, 3000K, Op</v>
      </c>
      <c r="C1180" t="str">
        <f t="shared" si="63"/>
        <v>43</v>
      </c>
      <c r="D1180" s="1">
        <v>517.5</v>
      </c>
    </row>
    <row r="1181" spans="1:4" x14ac:dyDescent="0.25">
      <c r="A1181" t="str">
        <f>"PSLG123-1500WW2O"</f>
        <v>PSLG123-1500WW2O</v>
      </c>
      <c r="B1181" t="str">
        <f>"PSLG 123, Pendelleuchte, LED 57W, direkter/indirekter Lichtaustritt, 3000K, Op"</f>
        <v>PSLG 123, Pendelleuchte, LED 57W, direkter/indirekter Lichtaustritt, 3000K, Op</v>
      </c>
      <c r="C1181" t="str">
        <f t="shared" si="63"/>
        <v>43</v>
      </c>
      <c r="D1181" s="1">
        <v>517.5</v>
      </c>
    </row>
    <row r="1182" spans="1:4" x14ac:dyDescent="0.25">
      <c r="A1182" t="str">
        <f>"PSLG123-1500WW7O"</f>
        <v>PSLG123-1500WW7O</v>
      </c>
      <c r="B1182" t="str">
        <f>"PSLG 123, Pendelleuchte, LED 57W, direkter/indirekter Lichtaustritt, 3000K, Op"</f>
        <v>PSLG 123, Pendelleuchte, LED 57W, direkter/indirekter Lichtaustritt, 3000K, Op</v>
      </c>
      <c r="C1182" t="str">
        <f t="shared" si="63"/>
        <v>43</v>
      </c>
      <c r="D1182" s="1">
        <v>517.5</v>
      </c>
    </row>
    <row r="1183" spans="1:4" x14ac:dyDescent="0.25">
      <c r="A1183" t="str">
        <f>"PSLU100-1200NW1P"</f>
        <v>PSLU100-1200NW1P</v>
      </c>
      <c r="B1183" t="str">
        <f>"PSLU100, Pendelleuchte, UGR&lt;19, LED direkter/indirekter Lichtaustritt, 4000K, Op"</f>
        <v>PSLU100, Pendelleuchte, UGR&lt;19, LED direkter/indirekter Lichtaustritt, 4000K, Op</v>
      </c>
      <c r="C1183" t="str">
        <f t="shared" si="63"/>
        <v>43</v>
      </c>
      <c r="D1183" s="1">
        <v>510</v>
      </c>
    </row>
    <row r="1184" spans="1:4" x14ac:dyDescent="0.25">
      <c r="A1184" t="str">
        <f>"PSLU100-1200NW2P"</f>
        <v>PSLU100-1200NW2P</v>
      </c>
      <c r="B1184" t="str">
        <f>"PSLU100, Pendelleuchte, UGR&lt;19, LED direkter/indirekter Lichtaustritt, 4000K, Op"</f>
        <v>PSLU100, Pendelleuchte, UGR&lt;19, LED direkter/indirekter Lichtaustritt, 4000K, Op</v>
      </c>
      <c r="C1184" t="str">
        <f t="shared" si="63"/>
        <v>43</v>
      </c>
      <c r="D1184" s="1">
        <v>510</v>
      </c>
    </row>
    <row r="1185" spans="1:4" x14ac:dyDescent="0.25">
      <c r="A1185" t="str">
        <f>"PSLU100-1200NW7P"</f>
        <v>PSLU100-1200NW7P</v>
      </c>
      <c r="B1185" t="str">
        <f>"PSLU100, Pendelleuchte, UGR&lt;19, LED direkter/indirekter Lichtaustritt, 4000K, Op"</f>
        <v>PSLU100, Pendelleuchte, UGR&lt;19, LED direkter/indirekter Lichtaustritt, 4000K, Op</v>
      </c>
      <c r="C1185" t="str">
        <f t="shared" si="63"/>
        <v>43</v>
      </c>
      <c r="D1185" s="1">
        <v>510</v>
      </c>
    </row>
    <row r="1186" spans="1:4" x14ac:dyDescent="0.25">
      <c r="A1186" t="str">
        <f>"PSLU100-1200SW1P"</f>
        <v>PSLU100-1200SW1P</v>
      </c>
      <c r="B1186" t="str">
        <f>"PSLU100, Pendelleuchte, UGR&lt;19, LED direkter/indirekter Lichtaustritt, 2700K, Op"</f>
        <v>PSLU100, Pendelleuchte, UGR&lt;19, LED direkter/indirekter Lichtaustritt, 2700K, Op</v>
      </c>
      <c r="C1186" t="str">
        <f t="shared" si="63"/>
        <v>43</v>
      </c>
      <c r="D1186" s="1">
        <v>510</v>
      </c>
    </row>
    <row r="1187" spans="1:4" x14ac:dyDescent="0.25">
      <c r="A1187" t="str">
        <f>"PSLU100-1200SW2P"</f>
        <v>PSLU100-1200SW2P</v>
      </c>
      <c r="B1187" t="str">
        <f>"PSLU100, Pendelleuchte, UGR&lt;19, LED direkter/indirekter Lichtaustritt, 2700K, Op"</f>
        <v>PSLU100, Pendelleuchte, UGR&lt;19, LED direkter/indirekter Lichtaustritt, 2700K, Op</v>
      </c>
      <c r="C1187" t="str">
        <f t="shared" si="63"/>
        <v>43</v>
      </c>
      <c r="D1187" s="1">
        <v>510</v>
      </c>
    </row>
    <row r="1188" spans="1:4" x14ac:dyDescent="0.25">
      <c r="A1188" t="str">
        <f>"PSLU100-1200SW7P"</f>
        <v>PSLU100-1200SW7P</v>
      </c>
      <c r="B1188" t="str">
        <f>"PSLU100, Pendelleuchte, UGR&lt;19, LED direkter/indirekter Lichtaustritt, 2700K, Op"</f>
        <v>PSLU100, Pendelleuchte, UGR&lt;19, LED direkter/indirekter Lichtaustritt, 2700K, Op</v>
      </c>
      <c r="C1188" t="str">
        <f t="shared" si="63"/>
        <v>43</v>
      </c>
      <c r="D1188" s="1">
        <v>510</v>
      </c>
    </row>
    <row r="1189" spans="1:4" x14ac:dyDescent="0.25">
      <c r="A1189" t="str">
        <f>"PSLU100-1200WW1P"</f>
        <v>PSLU100-1200WW1P</v>
      </c>
      <c r="B1189" t="str">
        <f>"PSLU100, Pendelleuchte, UGR&lt;19, LED direkter/indirekter Lichtaustritt, 3000K, Op"</f>
        <v>PSLU100, Pendelleuchte, UGR&lt;19, LED direkter/indirekter Lichtaustritt, 3000K, Op</v>
      </c>
      <c r="C1189" t="str">
        <f t="shared" si="63"/>
        <v>43</v>
      </c>
      <c r="D1189" s="1">
        <v>510</v>
      </c>
    </row>
    <row r="1190" spans="1:4" x14ac:dyDescent="0.25">
      <c r="A1190" t="str">
        <f>"PSLU100-1200WW2P"</f>
        <v>PSLU100-1200WW2P</v>
      </c>
      <c r="B1190" t="str">
        <f>"PSLU100, Pendelleuchte, UGR&lt;19, LED direkter/indirekter Lichtaustritt, 3000K, Op"</f>
        <v>PSLU100, Pendelleuchte, UGR&lt;19, LED direkter/indirekter Lichtaustritt, 3000K, Op</v>
      </c>
      <c r="C1190" t="str">
        <f t="shared" si="63"/>
        <v>43</v>
      </c>
      <c r="D1190" s="1">
        <v>510</v>
      </c>
    </row>
    <row r="1191" spans="1:4" x14ac:dyDescent="0.25">
      <c r="A1191" t="str">
        <f>"PSLU100-1200WW7P"</f>
        <v>PSLU100-1200WW7P</v>
      </c>
      <c r="B1191" t="str">
        <f>"PSLU100, Pendelleuchte, UGR19, LED direkter/indirekter Lichtaustritt, 3000K, Op"</f>
        <v>PSLU100, Pendelleuchte, UGR19, LED direkter/indirekter Lichtaustritt, 3000K, Op</v>
      </c>
      <c r="C1191" t="str">
        <f t="shared" si="63"/>
        <v>43</v>
      </c>
      <c r="D1191" s="1">
        <v>510</v>
      </c>
    </row>
    <row r="1192" spans="1:4" x14ac:dyDescent="0.25">
      <c r="A1192" t="str">
        <f>"PSLU100-1500NW1P"</f>
        <v>PSLU100-1500NW1P</v>
      </c>
      <c r="B1192" t="str">
        <f>"PSLU100, Pendelleuchte, UGR&lt;19, LED direkt/indirekt Lichtaustritt, 4000K, Op"</f>
        <v>PSLU100, Pendelleuchte, UGR&lt;19, LED direkt/indirekt Lichtaustritt, 4000K, Op</v>
      </c>
      <c r="C1192" t="str">
        <f t="shared" si="63"/>
        <v>43</v>
      </c>
      <c r="D1192" s="1">
        <v>568</v>
      </c>
    </row>
    <row r="1193" spans="1:4" x14ac:dyDescent="0.25">
      <c r="A1193" t="str">
        <f>"PSLU100-1500NW2P"</f>
        <v>PSLU100-1500NW2P</v>
      </c>
      <c r="B1193" t="str">
        <f>"PSLU100, Pendelleuchte, UGR&lt;19, LED direkt/indirekt Lichtaustritt, 4000K, Op"</f>
        <v>PSLU100, Pendelleuchte, UGR&lt;19, LED direkt/indirekt Lichtaustritt, 4000K, Op</v>
      </c>
      <c r="C1193" t="str">
        <f t="shared" si="63"/>
        <v>43</v>
      </c>
      <c r="D1193" s="1">
        <v>568</v>
      </c>
    </row>
    <row r="1194" spans="1:4" x14ac:dyDescent="0.25">
      <c r="A1194" t="str">
        <f>"PSLU100-1500NW7P"</f>
        <v>PSLU100-1500NW7P</v>
      </c>
      <c r="B1194" t="str">
        <f>"PSLU100, Pendelleuchte, UGR&lt;19, LED direkt/indirekt Lichtaustritt, 4000K, Op"</f>
        <v>PSLU100, Pendelleuchte, UGR&lt;19, LED direkt/indirekt Lichtaustritt, 4000K, Op</v>
      </c>
      <c r="C1194" t="str">
        <f t="shared" si="63"/>
        <v>43</v>
      </c>
      <c r="D1194" s="1">
        <v>568</v>
      </c>
    </row>
    <row r="1195" spans="1:4" x14ac:dyDescent="0.25">
      <c r="A1195" t="str">
        <f>"PSLU100-1500SW1P"</f>
        <v>PSLU100-1500SW1P</v>
      </c>
      <c r="B1195" t="str">
        <f>"PSLU100, Pendelleuchte, UGR&lt;19, LED direkt/indirekt Lichtaustritt, 2700K, Op"</f>
        <v>PSLU100, Pendelleuchte, UGR&lt;19, LED direkt/indirekt Lichtaustritt, 2700K, Op</v>
      </c>
      <c r="C1195" t="str">
        <f t="shared" si="63"/>
        <v>43</v>
      </c>
      <c r="D1195" s="1">
        <v>568</v>
      </c>
    </row>
    <row r="1196" spans="1:4" x14ac:dyDescent="0.25">
      <c r="A1196" t="str">
        <f>"PSLU100-1500SW2P"</f>
        <v>PSLU100-1500SW2P</v>
      </c>
      <c r="B1196" t="str">
        <f>"PSLU100, Pendelleuchte, UGR&lt;19, LED direkt/indirekt Lichtaustritt, 2700K, Op"</f>
        <v>PSLU100, Pendelleuchte, UGR&lt;19, LED direkt/indirekt Lichtaustritt, 2700K, Op</v>
      </c>
      <c r="C1196" t="str">
        <f t="shared" si="63"/>
        <v>43</v>
      </c>
      <c r="D1196" s="1">
        <v>568</v>
      </c>
    </row>
    <row r="1197" spans="1:4" x14ac:dyDescent="0.25">
      <c r="A1197" t="str">
        <f>"PSLU100-1500SW7P"</f>
        <v>PSLU100-1500SW7P</v>
      </c>
      <c r="B1197" t="str">
        <f>"PSLU100, Pendelleuchte, UGR&lt;19, LED direkt/indirekt Lichtaustritt, 2700K, Op"</f>
        <v>PSLU100, Pendelleuchte, UGR&lt;19, LED direkt/indirekt Lichtaustritt, 2700K, Op</v>
      </c>
      <c r="C1197" t="str">
        <f t="shared" si="63"/>
        <v>43</v>
      </c>
      <c r="D1197" s="1">
        <v>568</v>
      </c>
    </row>
    <row r="1198" spans="1:4" x14ac:dyDescent="0.25">
      <c r="A1198" t="str">
        <f>"PSLU100-1500WW1P"</f>
        <v>PSLU100-1500WW1P</v>
      </c>
      <c r="B1198" t="str">
        <f>"PSLU100, Pendelleuchte, UGR&lt;19, LED dir/indir Lichtaustritt, 3000K, Op"</f>
        <v>PSLU100, Pendelleuchte, UGR&lt;19, LED dir/indir Lichtaustritt, 3000K, Op</v>
      </c>
      <c r="C1198" t="str">
        <f t="shared" si="63"/>
        <v>43</v>
      </c>
      <c r="D1198" s="1">
        <v>568</v>
      </c>
    </row>
    <row r="1199" spans="1:4" x14ac:dyDescent="0.25">
      <c r="A1199" t="str">
        <f>"PSLU100-1500WW2P"</f>
        <v>PSLU100-1500WW2P</v>
      </c>
      <c r="B1199" t="str">
        <f>"PSLU100, Pendelleuchte, UGR&lt;19, LED direkt/indirekt Lichtaustritt, 3000K, Op"</f>
        <v>PSLU100, Pendelleuchte, UGR&lt;19, LED direkt/indirekt Lichtaustritt, 3000K, Op</v>
      </c>
      <c r="C1199" t="str">
        <f t="shared" si="63"/>
        <v>43</v>
      </c>
      <c r="D1199" s="1">
        <v>568</v>
      </c>
    </row>
    <row r="1200" spans="1:4" x14ac:dyDescent="0.25">
      <c r="A1200" t="str">
        <f>"PSLU100-1500WW7P"</f>
        <v>PSLU100-1500WW7P</v>
      </c>
      <c r="B1200" t="str">
        <f>"PSLU100, Pendelleuchte, UGR&lt;19, LED direkt/indirekt Lichtaustritt, 3000K, Op"</f>
        <v>PSLU100, Pendelleuchte, UGR&lt;19, LED direkt/indirekt Lichtaustritt, 3000K, Op</v>
      </c>
      <c r="C1200" t="str">
        <f t="shared" si="63"/>
        <v>43</v>
      </c>
      <c r="D1200" s="1">
        <v>568</v>
      </c>
    </row>
    <row r="1201" spans="1:4" x14ac:dyDescent="0.25">
      <c r="A1201" t="str">
        <f>"PSL100-1200NW1O"</f>
        <v>PSL100-1200NW1O</v>
      </c>
      <c r="B1201" t="str">
        <f>"PSL 100, Pendelleuchte, LED direkter/indirekter Lichtaustritt, 4000K, Op"</f>
        <v>PSL 100, Pendelleuchte, LED direkter/indirekter Lichtaustritt, 4000K, Op</v>
      </c>
      <c r="C1201" t="str">
        <f t="shared" si="63"/>
        <v>43</v>
      </c>
      <c r="D1201" s="1">
        <v>435</v>
      </c>
    </row>
    <row r="1202" spans="1:4" x14ac:dyDescent="0.25">
      <c r="A1202" t="str">
        <f>"PSL100-1200SW1O"</f>
        <v>PSL100-1200SW1O</v>
      </c>
      <c r="B1202" t="str">
        <f>"PSL 100, Pendelleuchte, LED direkter/indirekter Lichtaustritt, 2700K, Op"</f>
        <v>PSL 100, Pendelleuchte, LED direkter/indirekter Lichtaustritt, 2700K, Op</v>
      </c>
      <c r="C1202" t="str">
        <f t="shared" si="63"/>
        <v>43</v>
      </c>
      <c r="D1202" s="1">
        <v>435</v>
      </c>
    </row>
    <row r="1203" spans="1:4" x14ac:dyDescent="0.25">
      <c r="A1203" t="str">
        <f>"PSL100-1200NW2O"</f>
        <v>PSL100-1200NW2O</v>
      </c>
      <c r="B1203" t="str">
        <f>"PSL 100, Pendelleuchte, LED direkter/indirekter Lichtaustritt, 4000K, Op"</f>
        <v>PSL 100, Pendelleuchte, LED direkter/indirekter Lichtaustritt, 4000K, Op</v>
      </c>
      <c r="C1203" t="str">
        <f t="shared" si="63"/>
        <v>43</v>
      </c>
      <c r="D1203" s="1">
        <v>435</v>
      </c>
    </row>
    <row r="1204" spans="1:4" x14ac:dyDescent="0.25">
      <c r="A1204" t="str">
        <f>"PSL100-1200SW2O"</f>
        <v>PSL100-1200SW2O</v>
      </c>
      <c r="B1204" t="str">
        <f>"PSL 100, Pendelleuchte, LED direkter/indirekter Lichtaustritt, 2700K, Op"</f>
        <v>PSL 100, Pendelleuchte, LED direkter/indirekter Lichtaustritt, 2700K, Op</v>
      </c>
      <c r="C1204" t="str">
        <f t="shared" si="63"/>
        <v>43</v>
      </c>
      <c r="D1204" s="1">
        <v>435</v>
      </c>
    </row>
    <row r="1205" spans="1:4" x14ac:dyDescent="0.25">
      <c r="A1205" t="str">
        <f>"PSL100-1200NW7O"</f>
        <v>PSL100-1200NW7O</v>
      </c>
      <c r="B1205" t="str">
        <f>"PSL 100, Pendelleuchte, LED direkter/indirekter Lichtaustritt, 4000K, Op"</f>
        <v>PSL 100, Pendelleuchte, LED direkter/indirekter Lichtaustritt, 4000K, Op</v>
      </c>
      <c r="C1205" t="str">
        <f t="shared" si="63"/>
        <v>43</v>
      </c>
      <c r="D1205" s="1">
        <v>435</v>
      </c>
    </row>
    <row r="1206" spans="1:4" x14ac:dyDescent="0.25">
      <c r="A1206" t="str">
        <f>"PSL100-1200SW7O"</f>
        <v>PSL100-1200SW7O</v>
      </c>
      <c r="B1206" t="str">
        <f>"PSL 100, Pendelleuchte, LED direkter/indirekter Lichtaustritt, 2700K, Op"</f>
        <v>PSL 100, Pendelleuchte, LED direkter/indirekter Lichtaustritt, 2700K, Op</v>
      </c>
      <c r="C1206" t="str">
        <f t="shared" si="63"/>
        <v>43</v>
      </c>
      <c r="D1206" s="1">
        <v>435</v>
      </c>
    </row>
    <row r="1207" spans="1:4" x14ac:dyDescent="0.25">
      <c r="A1207" t="str">
        <f>"PSL100-1200WW1O"</f>
        <v>PSL100-1200WW1O</v>
      </c>
      <c r="B1207" t="str">
        <f>"PSL 100, Pendelleuchte, LED direkter/indirekter Lichtaustritt, 3000K, "</f>
        <v xml:space="preserve">PSL 100, Pendelleuchte, LED direkter/indirekter Lichtaustritt, 3000K, </v>
      </c>
      <c r="C1207" t="str">
        <f t="shared" si="63"/>
        <v>43</v>
      </c>
      <c r="D1207" s="1">
        <v>435</v>
      </c>
    </row>
    <row r="1208" spans="1:4" x14ac:dyDescent="0.25">
      <c r="A1208" t="str">
        <f>"PSL100-1200WW2O"</f>
        <v>PSL100-1200WW2O</v>
      </c>
      <c r="B1208" t="str">
        <f>"PSL 100, Pendelleuchte, LED direkter/indirekter Lichtaustritt, 3000K, "</f>
        <v xml:space="preserve">PSL 100, Pendelleuchte, LED direkter/indirekter Lichtaustritt, 3000K, </v>
      </c>
      <c r="C1208" t="str">
        <f t="shared" si="63"/>
        <v>43</v>
      </c>
      <c r="D1208" s="1">
        <v>435</v>
      </c>
    </row>
    <row r="1209" spans="1:4" x14ac:dyDescent="0.25">
      <c r="A1209" t="str">
        <f>"PSL100-1200WW7O"</f>
        <v>PSL100-1200WW7O</v>
      </c>
      <c r="B1209" t="str">
        <f>"PSL 100, Pendelleuchte, LED direkter/indirekter Lichtaustritt, 3000K, Op"</f>
        <v>PSL 100, Pendelleuchte, LED direkter/indirekter Lichtaustritt, 3000K, Op</v>
      </c>
      <c r="C1209" t="str">
        <f t="shared" si="63"/>
        <v>43</v>
      </c>
      <c r="D1209" s="1">
        <v>435</v>
      </c>
    </row>
    <row r="1210" spans="1:4" x14ac:dyDescent="0.25">
      <c r="A1210" t="str">
        <f>"PSL100-1500NW1O"</f>
        <v>PSL100-1500NW1O</v>
      </c>
      <c r="B1210" t="str">
        <f>"PSL 100, Pendelleuchte, LED direkter/indirekter Lichtaustritt, 4000K, Op"</f>
        <v>PSL 100, Pendelleuchte, LED direkter/indirekter Lichtaustritt, 4000K, Op</v>
      </c>
      <c r="C1210" t="str">
        <f t="shared" si="63"/>
        <v>43</v>
      </c>
      <c r="D1210" s="1">
        <v>517</v>
      </c>
    </row>
    <row r="1211" spans="1:4" x14ac:dyDescent="0.25">
      <c r="A1211" t="str">
        <f>"PSL100-1500NW2O"</f>
        <v>PSL100-1500NW2O</v>
      </c>
      <c r="B1211" t="str">
        <f>"PSL 100, Pendelleuchte, LED direkter/indirekter Lichtaustritt, 4000K, Op"</f>
        <v>PSL 100, Pendelleuchte, LED direkter/indirekter Lichtaustritt, 4000K, Op</v>
      </c>
      <c r="C1211" t="str">
        <f t="shared" si="63"/>
        <v>43</v>
      </c>
      <c r="D1211" s="1">
        <v>517</v>
      </c>
    </row>
    <row r="1212" spans="1:4" x14ac:dyDescent="0.25">
      <c r="A1212" t="str">
        <f>"PSL100-1500NW7O"</f>
        <v>PSL100-1500NW7O</v>
      </c>
      <c r="B1212" t="str">
        <f>"PSL 100, Pendelleuchte, LED direkter/indirekter Lichtaustritt, 4000K, Op"</f>
        <v>PSL 100, Pendelleuchte, LED direkter/indirekter Lichtaustritt, 4000K, Op</v>
      </c>
      <c r="C1212" t="str">
        <f t="shared" si="63"/>
        <v>43</v>
      </c>
      <c r="D1212" s="1">
        <v>517</v>
      </c>
    </row>
    <row r="1213" spans="1:4" x14ac:dyDescent="0.25">
      <c r="A1213" t="str">
        <f>"PSL100-1500SW1O"</f>
        <v>PSL100-1500SW1O</v>
      </c>
      <c r="B1213" t="str">
        <f>"PSL 100, Pendelleuchte, LED direkter/indirekter Lichtaustritt, 2700K, Op"</f>
        <v>PSL 100, Pendelleuchte, LED direkter/indirekter Lichtaustritt, 2700K, Op</v>
      </c>
      <c r="C1213" t="str">
        <f t="shared" si="63"/>
        <v>43</v>
      </c>
      <c r="D1213" s="1">
        <v>517</v>
      </c>
    </row>
    <row r="1214" spans="1:4" x14ac:dyDescent="0.25">
      <c r="A1214" t="str">
        <f>"PSL100-1500SW2O"</f>
        <v>PSL100-1500SW2O</v>
      </c>
      <c r="B1214" t="str">
        <f>"PSL 100, Pendelleuchte, LED direkter/indirekter Lichtaustritt, 2700K, Op"</f>
        <v>PSL 100, Pendelleuchte, LED direkter/indirekter Lichtaustritt, 2700K, Op</v>
      </c>
      <c r="C1214" t="str">
        <f t="shared" si="63"/>
        <v>43</v>
      </c>
      <c r="D1214" s="1">
        <v>517</v>
      </c>
    </row>
    <row r="1215" spans="1:4" x14ac:dyDescent="0.25">
      <c r="A1215" t="str">
        <f>"PSL100-1500SW7O"</f>
        <v>PSL100-1500SW7O</v>
      </c>
      <c r="B1215" t="str">
        <f>"PSL 100, Pendelleuchte, LED direkter/indirekter Lichtaustritt, 2700K, Op"</f>
        <v>PSL 100, Pendelleuchte, LED direkter/indirekter Lichtaustritt, 2700K, Op</v>
      </c>
      <c r="C1215" t="str">
        <f t="shared" si="63"/>
        <v>43</v>
      </c>
      <c r="D1215" s="1">
        <v>517</v>
      </c>
    </row>
    <row r="1216" spans="1:4" x14ac:dyDescent="0.25">
      <c r="A1216" t="str">
        <f>"PSL100-1500WW1O"</f>
        <v>PSL100-1500WW1O</v>
      </c>
      <c r="B1216" t="str">
        <f>"PSL 100, Pendelleuchte, LED direkter/indirekter Lichtaustritt, 3000K, Op"</f>
        <v>PSL 100, Pendelleuchte, LED direkter/indirekter Lichtaustritt, 3000K, Op</v>
      </c>
      <c r="C1216" t="str">
        <f t="shared" si="63"/>
        <v>43</v>
      </c>
      <c r="D1216" s="1">
        <v>517</v>
      </c>
    </row>
    <row r="1217" spans="1:4" x14ac:dyDescent="0.25">
      <c r="A1217" t="str">
        <f>"PSL100-1500WW2O"</f>
        <v>PSL100-1500WW2O</v>
      </c>
      <c r="B1217" t="str">
        <f>"PSL 100, Pendelleuchte, LED direkter/indirekter Lichtaustritt, 3000K, Op"</f>
        <v>PSL 100, Pendelleuchte, LED direkter/indirekter Lichtaustritt, 3000K, Op</v>
      </c>
      <c r="C1217" t="str">
        <f t="shared" si="63"/>
        <v>43</v>
      </c>
      <c r="D1217" s="1">
        <v>517</v>
      </c>
    </row>
    <row r="1218" spans="1:4" x14ac:dyDescent="0.25">
      <c r="A1218" t="str">
        <f>"PSL100-1500WW7O"</f>
        <v>PSL100-1500WW7O</v>
      </c>
      <c r="B1218" t="str">
        <f>"PSL 100, Pendelleuchte, LED direkter/indirekter Lichtaustritt, 3000K, Op"</f>
        <v>PSL 100, Pendelleuchte, LED direkter/indirekter Lichtaustritt, 3000K, Op</v>
      </c>
      <c r="C1218" t="str">
        <f t="shared" si="63"/>
        <v>43</v>
      </c>
      <c r="D1218" s="1">
        <v>517</v>
      </c>
    </row>
    <row r="1219" spans="1:4" x14ac:dyDescent="0.25">
      <c r="A1219" t="str">
        <f>"PT-FIT35EK"</f>
        <v>PT-FIT35EK</v>
      </c>
      <c r="B1219" t="str">
        <f>"PT-FIT 035-I HCI/CDM HID-EVG 220-240V, mit Zugentlastung"</f>
        <v>PT-FIT 035-I HCI/CDM HID-EVG 220-240V, mit Zugentlastung</v>
      </c>
      <c r="C1219" t="str">
        <f>"243"</f>
        <v>243</v>
      </c>
      <c r="D1219" s="1">
        <v>31.5</v>
      </c>
    </row>
    <row r="1220" spans="1:4" x14ac:dyDescent="0.25">
      <c r="A1220" t="str">
        <f>"PT-FIT70EK"</f>
        <v>PT-FIT70EK</v>
      </c>
      <c r="B1220" t="str">
        <f>"PT-FIT 070-I HCI/CDM HID-EVG 220-240V, mit Zugentlastung"</f>
        <v>PT-FIT 070-I HCI/CDM HID-EVG 220-240V, mit Zugentlastung</v>
      </c>
      <c r="C1220" t="str">
        <f>"243"</f>
        <v>243</v>
      </c>
      <c r="D1220" s="1">
        <v>31.5</v>
      </c>
    </row>
    <row r="1221" spans="1:4" x14ac:dyDescent="0.25">
      <c r="A1221" t="str">
        <f>"PTI-235EK"</f>
        <v>PTI-235EK</v>
      </c>
      <c r="B1221" t="str">
        <f>"PTI 2x35-I HCI/CDM HID-EVG 220-240V, mit Zugentlastung"</f>
        <v>PTI 2x35-I HCI/CDM HID-EVG 220-240V, mit Zugentlastung</v>
      </c>
      <c r="C1221" t="str">
        <f>"243"</f>
        <v>243</v>
      </c>
      <c r="D1221" s="1">
        <v>75</v>
      </c>
    </row>
    <row r="1222" spans="1:4" x14ac:dyDescent="0.25">
      <c r="A1222" t="str">
        <f>"PUR-EKEO7"</f>
        <v>PUR-EKEO7</v>
      </c>
      <c r="B1222" t="str">
        <f>"PURLED, Enddeckel, eckig,mit Kabelöffnung, 1 Stück alu eloxiert"</f>
        <v>PURLED, Enddeckel, eckig,mit Kabelöffnung, 1 Stück alu eloxiert</v>
      </c>
      <c r="C1222" t="str">
        <f>"113"</f>
        <v>113</v>
      </c>
      <c r="D1222" s="1">
        <v>11.25</v>
      </c>
    </row>
    <row r="1223" spans="1:4" x14ac:dyDescent="0.25">
      <c r="A1223" t="str">
        <f>"PUR-EKE7"</f>
        <v>PUR-EKE7</v>
      </c>
      <c r="B1223" t="str">
        <f>"PURLED, Enddeckel, eckig, geschlossen, 1 Stück alugrau"</f>
        <v>PURLED, Enddeckel, eckig, geschlossen, 1 Stück alugrau</v>
      </c>
      <c r="C1223" t="str">
        <f>"113"</f>
        <v>113</v>
      </c>
      <c r="D1223" s="1">
        <v>11.25</v>
      </c>
    </row>
    <row r="1224" spans="1:4" x14ac:dyDescent="0.25">
      <c r="A1224" t="str">
        <f>"PUR-P-2"</f>
        <v>PUR-P-2</v>
      </c>
      <c r="B1224" t="str">
        <f>"PURLED, U-Profil Aluminium eloxiert 2 Meter"</f>
        <v>PURLED, U-Profil Aluminium eloxiert 2 Meter</v>
      </c>
      <c r="C1224" t="str">
        <f>"113"</f>
        <v>113</v>
      </c>
      <c r="D1224" s="1">
        <v>55</v>
      </c>
    </row>
    <row r="1225" spans="1:4" x14ac:dyDescent="0.25">
      <c r="A1225" t="str">
        <f>"PUR-P-6"</f>
        <v>PUR-P-6</v>
      </c>
      <c r="B1225" t="str">
        <f>"PURLED, U-Profil Aluminium eloxiert 6 Meter"</f>
        <v>PURLED, U-Profil Aluminium eloxiert 6 Meter</v>
      </c>
      <c r="C1225" t="str">
        <f>"113"</f>
        <v>113</v>
      </c>
      <c r="D1225" s="1">
        <v>82.5</v>
      </c>
    </row>
    <row r="1226" spans="1:4" x14ac:dyDescent="0.25">
      <c r="A1226" t="str">
        <f>"QUANA1H-2NW1"</f>
        <v>QUANA1H-2NW1</v>
      </c>
      <c r="B1226" t="str">
        <f>"QUAN, Wandaußenleuchte, LED 2W, 4000K, horizontal, weiß"</f>
        <v>QUAN, Wandaußenleuchte, LED 2W, 4000K, horizontal, weiß</v>
      </c>
      <c r="C1226" t="str">
        <f t="shared" ref="C1226:C1243" si="64">"177"</f>
        <v>177</v>
      </c>
      <c r="D1226" s="1">
        <v>139</v>
      </c>
    </row>
    <row r="1227" spans="1:4" x14ac:dyDescent="0.25">
      <c r="A1227" t="str">
        <f>"QUANA1H-2NW6"</f>
        <v>QUANA1H-2NW6</v>
      </c>
      <c r="B1227" t="str">
        <f>"QUAN, Wandaußenleuchte, LED 2W, 4000K, horizontal, graphitgrau"</f>
        <v>QUAN, Wandaußenleuchte, LED 2W, 4000K, horizontal, graphitgrau</v>
      </c>
      <c r="C1227" t="str">
        <f t="shared" si="64"/>
        <v>177</v>
      </c>
      <c r="D1227" s="1">
        <v>139</v>
      </c>
    </row>
    <row r="1228" spans="1:4" x14ac:dyDescent="0.25">
      <c r="A1228" t="str">
        <f>"QUANA1H-2NW7"</f>
        <v>QUANA1H-2NW7</v>
      </c>
      <c r="B1228" t="str">
        <f>"QUAN, Wandaußenleuchte, LED 2W, 4000K, horizontal, metallgrau"</f>
        <v>QUAN, Wandaußenleuchte, LED 2W, 4000K, horizontal, metallgrau</v>
      </c>
      <c r="C1228" t="str">
        <f t="shared" si="64"/>
        <v>177</v>
      </c>
      <c r="D1228" s="1">
        <v>139</v>
      </c>
    </row>
    <row r="1229" spans="1:4" x14ac:dyDescent="0.25">
      <c r="A1229" t="str">
        <f>"QUANA1H-2WW1"</f>
        <v>QUANA1H-2WW1</v>
      </c>
      <c r="B1229" t="str">
        <f>"QUAN, Wandaußenleuchte, LED 2W, 3000K, horizontal, weiß"</f>
        <v>QUAN, Wandaußenleuchte, LED 2W, 3000K, horizontal, weiß</v>
      </c>
      <c r="C1229" t="str">
        <f t="shared" si="64"/>
        <v>177</v>
      </c>
      <c r="D1229" s="1">
        <v>139</v>
      </c>
    </row>
    <row r="1230" spans="1:4" x14ac:dyDescent="0.25">
      <c r="A1230" t="str">
        <f>"QUANA1H-2WW6"</f>
        <v>QUANA1H-2WW6</v>
      </c>
      <c r="B1230" t="str">
        <f>"QUAN, Wandaußenleuchte, LED 2W, 3000K, horizontal, graphitgrau"</f>
        <v>QUAN, Wandaußenleuchte, LED 2W, 3000K, horizontal, graphitgrau</v>
      </c>
      <c r="C1230" t="str">
        <f t="shared" si="64"/>
        <v>177</v>
      </c>
      <c r="D1230" s="1">
        <v>139</v>
      </c>
    </row>
    <row r="1231" spans="1:4" x14ac:dyDescent="0.25">
      <c r="A1231" t="str">
        <f>"QUANA1H-2WW7"</f>
        <v>QUANA1H-2WW7</v>
      </c>
      <c r="B1231" t="str">
        <f>"QUAN, Wandaußenleuchte, LED 2W, 3000K, horizontal, metallgrau"</f>
        <v>QUAN, Wandaußenleuchte, LED 2W, 3000K, horizontal, metallgrau</v>
      </c>
      <c r="C1231" t="str">
        <f t="shared" si="64"/>
        <v>177</v>
      </c>
      <c r="D1231" s="1">
        <v>139</v>
      </c>
    </row>
    <row r="1232" spans="1:4" x14ac:dyDescent="0.25">
      <c r="A1232" t="str">
        <f>"QUANA2H-3NW1"</f>
        <v>QUANA2H-3NW1</v>
      </c>
      <c r="B1232" t="str">
        <f>"QUAN, Wandaußenleuchte, LED 3,2W, 4000K, horizontal, weiß"</f>
        <v>QUAN, Wandaußenleuchte, LED 3,2W, 4000K, horizontal, weiß</v>
      </c>
      <c r="C1232" t="str">
        <f t="shared" si="64"/>
        <v>177</v>
      </c>
      <c r="D1232" s="1">
        <v>212</v>
      </c>
    </row>
    <row r="1233" spans="1:4" x14ac:dyDescent="0.25">
      <c r="A1233" t="str">
        <f>"QUANA2H-3NW6"</f>
        <v>QUANA2H-3NW6</v>
      </c>
      <c r="B1233" t="str">
        <f>"QUAN, Wandaußenleuchte, LED 3,2W, 4000K, horizontal, graphitgrau"</f>
        <v>QUAN, Wandaußenleuchte, LED 3,2W, 4000K, horizontal, graphitgrau</v>
      </c>
      <c r="C1233" t="str">
        <f t="shared" si="64"/>
        <v>177</v>
      </c>
      <c r="D1233" s="1">
        <v>212</v>
      </c>
    </row>
    <row r="1234" spans="1:4" x14ac:dyDescent="0.25">
      <c r="A1234" t="str">
        <f>"QUANA2H-3NW7"</f>
        <v>QUANA2H-3NW7</v>
      </c>
      <c r="B1234" t="str">
        <f>"QUAN, Wandaußenleuchte, LED 3,2W, 4000K, horizontal, metallgrau"</f>
        <v>QUAN, Wandaußenleuchte, LED 3,2W, 4000K, horizontal, metallgrau</v>
      </c>
      <c r="C1234" t="str">
        <f t="shared" si="64"/>
        <v>177</v>
      </c>
      <c r="D1234" s="1">
        <v>212</v>
      </c>
    </row>
    <row r="1235" spans="1:4" x14ac:dyDescent="0.25">
      <c r="A1235" t="str">
        <f>"QUANA2H-3WW1"</f>
        <v>QUANA2H-3WW1</v>
      </c>
      <c r="B1235" t="str">
        <f>"QUAN, Wandaußenleuchte, LED 3,2W, 3000K, horizontal, weiß"</f>
        <v>QUAN, Wandaußenleuchte, LED 3,2W, 3000K, horizontal, weiß</v>
      </c>
      <c r="C1235" t="str">
        <f t="shared" si="64"/>
        <v>177</v>
      </c>
      <c r="D1235" s="1">
        <v>212</v>
      </c>
    </row>
    <row r="1236" spans="1:4" x14ac:dyDescent="0.25">
      <c r="A1236" t="str">
        <f>"QUANA2H-3WW6"</f>
        <v>QUANA2H-3WW6</v>
      </c>
      <c r="B1236" t="str">
        <f>"QUAN, Wandaußenleuchte, LED 3,2W, 3000K, horizontal, graphitgrau"</f>
        <v>QUAN, Wandaußenleuchte, LED 3,2W, 3000K, horizontal, graphitgrau</v>
      </c>
      <c r="C1236" t="str">
        <f t="shared" si="64"/>
        <v>177</v>
      </c>
      <c r="D1236" s="1">
        <v>212</v>
      </c>
    </row>
    <row r="1237" spans="1:4" x14ac:dyDescent="0.25">
      <c r="A1237" t="str">
        <f>"QUANA2H-3WW7"</f>
        <v>QUANA2H-3WW7</v>
      </c>
      <c r="B1237" t="str">
        <f>"QUAN, Wandaußenleuchte, LED 3,2W, 3000K, horizontal, metallgrau"</f>
        <v>QUAN, Wandaußenleuchte, LED 3,2W, 3000K, horizontal, metallgrau</v>
      </c>
      <c r="C1237" t="str">
        <f t="shared" si="64"/>
        <v>177</v>
      </c>
      <c r="D1237" s="1">
        <v>212</v>
      </c>
    </row>
    <row r="1238" spans="1:4" x14ac:dyDescent="0.25">
      <c r="A1238" t="str">
        <f>"QUANA2V-3NW1"</f>
        <v>QUANA2V-3NW1</v>
      </c>
      <c r="B1238" t="str">
        <f>"QUAN, Wandaußenleuchte, LED 3,2W, 4000K, vertikal, weiß"</f>
        <v>QUAN, Wandaußenleuchte, LED 3,2W, 4000K, vertikal, weiß</v>
      </c>
      <c r="C1238" t="str">
        <f t="shared" si="64"/>
        <v>177</v>
      </c>
      <c r="D1238" s="1">
        <v>212</v>
      </c>
    </row>
    <row r="1239" spans="1:4" x14ac:dyDescent="0.25">
      <c r="A1239" t="str">
        <f>"QUANA2V-3NW6"</f>
        <v>QUANA2V-3NW6</v>
      </c>
      <c r="B1239" t="str">
        <f>"QUAN, Wandaußenleuchte, LED 3,2W, 4000K, vertikal, graphitgrau"</f>
        <v>QUAN, Wandaußenleuchte, LED 3,2W, 4000K, vertikal, graphitgrau</v>
      </c>
      <c r="C1239" t="str">
        <f t="shared" si="64"/>
        <v>177</v>
      </c>
      <c r="D1239" s="1">
        <v>212</v>
      </c>
    </row>
    <row r="1240" spans="1:4" x14ac:dyDescent="0.25">
      <c r="A1240" t="str">
        <f>"QUANA2V-3NW7"</f>
        <v>QUANA2V-3NW7</v>
      </c>
      <c r="B1240" t="str">
        <f>"QUAN, Wandaußenleuchte, LED 3,2W, 4000K, vertikal, metallgrau"</f>
        <v>QUAN, Wandaußenleuchte, LED 3,2W, 4000K, vertikal, metallgrau</v>
      </c>
      <c r="C1240" t="str">
        <f t="shared" si="64"/>
        <v>177</v>
      </c>
      <c r="D1240" s="1">
        <v>212</v>
      </c>
    </row>
    <row r="1241" spans="1:4" x14ac:dyDescent="0.25">
      <c r="A1241" t="str">
        <f>"QUANA2V-3WW1"</f>
        <v>QUANA2V-3WW1</v>
      </c>
      <c r="B1241" t="str">
        <f>"QUAN, Wandaußenleuchte, LED 3,2W, 3000K, vertikal, weiß"</f>
        <v>QUAN, Wandaußenleuchte, LED 3,2W, 3000K, vertikal, weiß</v>
      </c>
      <c r="C1241" t="str">
        <f t="shared" si="64"/>
        <v>177</v>
      </c>
      <c r="D1241" s="1">
        <v>212</v>
      </c>
    </row>
    <row r="1242" spans="1:4" x14ac:dyDescent="0.25">
      <c r="A1242" t="str">
        <f>"QUANA2V-3WW6"</f>
        <v>QUANA2V-3WW6</v>
      </c>
      <c r="B1242" t="str">
        <f>"QUAN, Wandaußenleuchte, LED 3,2W, 3000K, vertikal, graphitgrau"</f>
        <v>QUAN, Wandaußenleuchte, LED 3,2W, 3000K, vertikal, graphitgrau</v>
      </c>
      <c r="C1242" t="str">
        <f t="shared" si="64"/>
        <v>177</v>
      </c>
      <c r="D1242" s="1">
        <v>212</v>
      </c>
    </row>
    <row r="1243" spans="1:4" x14ac:dyDescent="0.25">
      <c r="A1243" t="str">
        <f>"QUANA2V-3WW7"</f>
        <v>QUANA2V-3WW7</v>
      </c>
      <c r="B1243" t="str">
        <f>"QUAN, Wandaußenleuchte, LED 3,2W, 3000K, vertikal, metallgrau"</f>
        <v>QUAN, Wandaußenleuchte, LED 3,2W, 3000K, vertikal, metallgrau</v>
      </c>
      <c r="C1243" t="str">
        <f t="shared" si="64"/>
        <v>177</v>
      </c>
      <c r="D1243" s="1">
        <v>212</v>
      </c>
    </row>
    <row r="1244" spans="1:4" x14ac:dyDescent="0.25">
      <c r="A1244" t="str">
        <f>"QUANA3HF-4NW1"</f>
        <v>QUANA3HF-4NW1</v>
      </c>
      <c r="B1244" t="str">
        <f>"QUAN, Wandaußenleuchte, LED 4,2W, Flood, 4000K, horizontal, weiß"</f>
        <v>QUAN, Wandaußenleuchte, LED 4,2W, Flood, 4000K, horizontal, weiß</v>
      </c>
      <c r="C1244" t="str">
        <f t="shared" ref="C1244:C1267" si="65">"179"</f>
        <v>179</v>
      </c>
      <c r="D1244" s="1">
        <v>284</v>
      </c>
    </row>
    <row r="1245" spans="1:4" x14ac:dyDescent="0.25">
      <c r="A1245" t="str">
        <f>"QUANA3HF-4NW6"</f>
        <v>QUANA3HF-4NW6</v>
      </c>
      <c r="B1245" t="str">
        <f>"QUAN, Wandaußenleuchte, LED 4,2W, Flood, 4000K, horizontal, graphitgrau"</f>
        <v>QUAN, Wandaußenleuchte, LED 4,2W, Flood, 4000K, horizontal, graphitgrau</v>
      </c>
      <c r="C1245" t="str">
        <f t="shared" si="65"/>
        <v>179</v>
      </c>
      <c r="D1245" s="1">
        <v>284</v>
      </c>
    </row>
    <row r="1246" spans="1:4" x14ac:dyDescent="0.25">
      <c r="A1246" t="str">
        <f>"QUANA3HF-4NW7"</f>
        <v>QUANA3HF-4NW7</v>
      </c>
      <c r="B1246" t="str">
        <f>"QUAN, Wandaußenleuchte, LED 4,2W, Flood, 4000K, horizontal, metallgrau"</f>
        <v>QUAN, Wandaußenleuchte, LED 4,2W, Flood, 4000K, horizontal, metallgrau</v>
      </c>
      <c r="C1246" t="str">
        <f t="shared" si="65"/>
        <v>179</v>
      </c>
      <c r="D1246" s="1">
        <v>284</v>
      </c>
    </row>
    <row r="1247" spans="1:4" x14ac:dyDescent="0.25">
      <c r="A1247" t="str">
        <f>"QUANA3HF-4WW1"</f>
        <v>QUANA3HF-4WW1</v>
      </c>
      <c r="B1247" t="str">
        <f>"QUAN, Wandaußenleuchte, LED 4,2W, Flood, 3000K, horizontal, weiß"</f>
        <v>QUAN, Wandaußenleuchte, LED 4,2W, Flood, 3000K, horizontal, weiß</v>
      </c>
      <c r="C1247" t="str">
        <f t="shared" si="65"/>
        <v>179</v>
      </c>
      <c r="D1247" s="1">
        <v>284</v>
      </c>
    </row>
    <row r="1248" spans="1:4" x14ac:dyDescent="0.25">
      <c r="A1248" t="str">
        <f>"QUANA3HF-4WW6"</f>
        <v>QUANA3HF-4WW6</v>
      </c>
      <c r="B1248" t="str">
        <f>"QUAN, Wandaußenleuchte, LED 4,2W, Flood, 3000K, horizontal, graphitgrau"</f>
        <v>QUAN, Wandaußenleuchte, LED 4,2W, Flood, 3000K, horizontal, graphitgrau</v>
      </c>
      <c r="C1248" t="str">
        <f t="shared" si="65"/>
        <v>179</v>
      </c>
      <c r="D1248" s="1">
        <v>284</v>
      </c>
    </row>
    <row r="1249" spans="1:4" x14ac:dyDescent="0.25">
      <c r="A1249" t="str">
        <f>"QUANA3HF-4WW7"</f>
        <v>QUANA3HF-4WW7</v>
      </c>
      <c r="B1249" t="str">
        <f>"QUAN, Wandaußenleuchte, LED 4,2W, Flood, 3000K, horizontal, metallgrau"</f>
        <v>QUAN, Wandaußenleuchte, LED 4,2W, Flood, 3000K, horizontal, metallgrau</v>
      </c>
      <c r="C1249" t="str">
        <f t="shared" si="65"/>
        <v>179</v>
      </c>
      <c r="D1249" s="1">
        <v>284</v>
      </c>
    </row>
    <row r="1250" spans="1:4" x14ac:dyDescent="0.25">
      <c r="A1250" t="str">
        <f>"QUANA3HR-4NW1"</f>
        <v>QUANA3HR-4NW1</v>
      </c>
      <c r="B1250" t="str">
        <f>"QUAN, Wandaußenleuchte, LED 4,2W, Raster, 4000K, horizontal, weiß"</f>
        <v>QUAN, Wandaußenleuchte, LED 4,2W, Raster, 4000K, horizontal, weiß</v>
      </c>
      <c r="C1250" t="str">
        <f t="shared" si="65"/>
        <v>179</v>
      </c>
      <c r="D1250" s="1">
        <v>288</v>
      </c>
    </row>
    <row r="1251" spans="1:4" x14ac:dyDescent="0.25">
      <c r="A1251" t="str">
        <f>"QUANA3HR-4NW6"</f>
        <v>QUANA3HR-4NW6</v>
      </c>
      <c r="B1251" t="str">
        <f>"QUAN, Wandaußenleuchte, LED 4,2W, Raster, 4000K, horizontal, graphitgrau"</f>
        <v>QUAN, Wandaußenleuchte, LED 4,2W, Raster, 4000K, horizontal, graphitgrau</v>
      </c>
      <c r="C1251" t="str">
        <f t="shared" si="65"/>
        <v>179</v>
      </c>
      <c r="D1251" s="1">
        <v>288</v>
      </c>
    </row>
    <row r="1252" spans="1:4" x14ac:dyDescent="0.25">
      <c r="A1252" t="str">
        <f>"QUANA3HR-4NW7"</f>
        <v>QUANA3HR-4NW7</v>
      </c>
      <c r="B1252" t="str">
        <f>"QUAN, Wandaußenleuchte, LED 4,2W, Raster, 4000K, horizontal, metallgrau"</f>
        <v>QUAN, Wandaußenleuchte, LED 4,2W, Raster, 4000K, horizontal, metallgrau</v>
      </c>
      <c r="C1252" t="str">
        <f t="shared" si="65"/>
        <v>179</v>
      </c>
      <c r="D1252" s="1">
        <v>288</v>
      </c>
    </row>
    <row r="1253" spans="1:4" x14ac:dyDescent="0.25">
      <c r="A1253" t="str">
        <f>"QUANA3HR-4WW1"</f>
        <v>QUANA3HR-4WW1</v>
      </c>
      <c r="B1253" t="str">
        <f>"QUAN, Wandaußenleuchte, LED 4,2W, Raster, 3000K, horizontal, weiß"</f>
        <v>QUAN, Wandaußenleuchte, LED 4,2W, Raster, 3000K, horizontal, weiß</v>
      </c>
      <c r="C1253" t="str">
        <f t="shared" si="65"/>
        <v>179</v>
      </c>
      <c r="D1253" s="1">
        <v>288</v>
      </c>
    </row>
    <row r="1254" spans="1:4" x14ac:dyDescent="0.25">
      <c r="A1254" t="str">
        <f>"QUANA3HR-4WW6"</f>
        <v>QUANA3HR-4WW6</v>
      </c>
      <c r="B1254" t="str">
        <f>"QUAN, Wandaußenleuchte, LED 4,2W, Raster, 3000K, horizontal, graphitgrau"</f>
        <v>QUAN, Wandaußenleuchte, LED 4,2W, Raster, 3000K, horizontal, graphitgrau</v>
      </c>
      <c r="C1254" t="str">
        <f t="shared" si="65"/>
        <v>179</v>
      </c>
      <c r="D1254" s="1">
        <v>288</v>
      </c>
    </row>
    <row r="1255" spans="1:4" x14ac:dyDescent="0.25">
      <c r="A1255" t="str">
        <f>"QUANA3HR-4WW7"</f>
        <v>QUANA3HR-4WW7</v>
      </c>
      <c r="B1255" t="str">
        <f>"QUAN, Wandaußenleuchte, LED 4,2W, Raster, 3000K, horizontal, metallgrau"</f>
        <v>QUAN, Wandaußenleuchte, LED 4,2W, Raster, 3000K, horizontal, metallgrau</v>
      </c>
      <c r="C1255" t="str">
        <f t="shared" si="65"/>
        <v>179</v>
      </c>
      <c r="D1255" s="1">
        <v>288</v>
      </c>
    </row>
    <row r="1256" spans="1:4" x14ac:dyDescent="0.25">
      <c r="A1256" t="str">
        <f>"QUANA3H-4NW1"</f>
        <v>QUANA3H-4NW1</v>
      </c>
      <c r="B1256" t="str">
        <f>"QUAN, Wandaußenleuchte, LED 4,2W, 4000K, horizontal, weiß"</f>
        <v>QUAN, Wandaußenleuchte, LED 4,2W, 4000K, horizontal, weiß</v>
      </c>
      <c r="C1256" t="str">
        <f t="shared" si="65"/>
        <v>179</v>
      </c>
      <c r="D1256" s="1">
        <v>282</v>
      </c>
    </row>
    <row r="1257" spans="1:4" x14ac:dyDescent="0.25">
      <c r="A1257" t="str">
        <f>"QUANA3H-4NW6"</f>
        <v>QUANA3H-4NW6</v>
      </c>
      <c r="B1257" t="str">
        <f>"QUAN, Wandaußenleuchte, LED 4,2W, 4000K, horizontal, graphitgrau"</f>
        <v>QUAN, Wandaußenleuchte, LED 4,2W, 4000K, horizontal, graphitgrau</v>
      </c>
      <c r="C1257" t="str">
        <f t="shared" si="65"/>
        <v>179</v>
      </c>
      <c r="D1257" s="1">
        <v>282</v>
      </c>
    </row>
    <row r="1258" spans="1:4" x14ac:dyDescent="0.25">
      <c r="A1258" t="str">
        <f>"QUANA3H-4NW7"</f>
        <v>QUANA3H-4NW7</v>
      </c>
      <c r="B1258" t="str">
        <f>"QUAN, Wandaußenleuchte, LED 4,2W, 4000K, horizontal, metallgrau"</f>
        <v>QUAN, Wandaußenleuchte, LED 4,2W, 4000K, horizontal, metallgrau</v>
      </c>
      <c r="C1258" t="str">
        <f t="shared" si="65"/>
        <v>179</v>
      </c>
      <c r="D1258" s="1">
        <v>282</v>
      </c>
    </row>
    <row r="1259" spans="1:4" x14ac:dyDescent="0.25">
      <c r="A1259" t="str">
        <f>"QUANA3H-4WW1"</f>
        <v>QUANA3H-4WW1</v>
      </c>
      <c r="B1259" t="str">
        <f>"QUAN, Wandaußenleuchte, LED 4,2W, 3000K, horizontal, weiß"</f>
        <v>QUAN, Wandaußenleuchte, LED 4,2W, 3000K, horizontal, weiß</v>
      </c>
      <c r="C1259" t="str">
        <f t="shared" si="65"/>
        <v>179</v>
      </c>
      <c r="D1259" s="1">
        <v>282</v>
      </c>
    </row>
    <row r="1260" spans="1:4" x14ac:dyDescent="0.25">
      <c r="A1260" t="str">
        <f>"QUANA3H-4WW6"</f>
        <v>QUANA3H-4WW6</v>
      </c>
      <c r="B1260" t="str">
        <f>"QUAN, Wandaußenleuchte, LED 4,2W, 3000K, horizontal, graphitgrau"</f>
        <v>QUAN, Wandaußenleuchte, LED 4,2W, 3000K, horizontal, graphitgrau</v>
      </c>
      <c r="C1260" t="str">
        <f t="shared" si="65"/>
        <v>179</v>
      </c>
      <c r="D1260" s="1">
        <v>282</v>
      </c>
    </row>
    <row r="1261" spans="1:4" x14ac:dyDescent="0.25">
      <c r="A1261" t="str">
        <f>"QUANA3H-4WW7"</f>
        <v>QUANA3H-4WW7</v>
      </c>
      <c r="B1261" t="str">
        <f>"QUAN, Wandaußenleuchte, LED 4,2W, 3000K, horizontal, metallgrau"</f>
        <v>QUAN, Wandaußenleuchte, LED 4,2W, 3000K, horizontal, metallgrau</v>
      </c>
      <c r="C1261" t="str">
        <f t="shared" si="65"/>
        <v>179</v>
      </c>
      <c r="D1261" s="1">
        <v>282</v>
      </c>
    </row>
    <row r="1262" spans="1:4" x14ac:dyDescent="0.25">
      <c r="A1262" t="str">
        <f>"QUANA3VR-4NW1"</f>
        <v>QUANA3VR-4NW1</v>
      </c>
      <c r="B1262" t="str">
        <f>"QUAN, Wandaußenleuchte, LED 4,2W, Raster, 4000K, vertikal, weiß"</f>
        <v>QUAN, Wandaußenleuchte, LED 4,2W, Raster, 4000K, vertikal, weiß</v>
      </c>
      <c r="C1262" t="str">
        <f t="shared" si="65"/>
        <v>179</v>
      </c>
      <c r="D1262" s="1">
        <v>285</v>
      </c>
    </row>
    <row r="1263" spans="1:4" x14ac:dyDescent="0.25">
      <c r="A1263" t="str">
        <f>"QUANA3VR-4NW6"</f>
        <v>QUANA3VR-4NW6</v>
      </c>
      <c r="B1263" t="str">
        <f>"QUAN, Wandaußenleuchte, LED 4,2W, Raster, 4000K, vertikal, graphitgrau"</f>
        <v>QUAN, Wandaußenleuchte, LED 4,2W, Raster, 4000K, vertikal, graphitgrau</v>
      </c>
      <c r="C1263" t="str">
        <f t="shared" si="65"/>
        <v>179</v>
      </c>
      <c r="D1263" s="1">
        <v>285</v>
      </c>
    </row>
    <row r="1264" spans="1:4" x14ac:dyDescent="0.25">
      <c r="A1264" t="str">
        <f>"QUANA3VR-4NW7"</f>
        <v>QUANA3VR-4NW7</v>
      </c>
      <c r="B1264" t="str">
        <f>"QUAN, Wandaußenleuchte, LED 4,2W, Raster, 4000K, vertikal, metallgrau"</f>
        <v>QUAN, Wandaußenleuchte, LED 4,2W, Raster, 4000K, vertikal, metallgrau</v>
      </c>
      <c r="C1264" t="str">
        <f t="shared" si="65"/>
        <v>179</v>
      </c>
      <c r="D1264" s="1">
        <v>285</v>
      </c>
    </row>
    <row r="1265" spans="1:4" x14ac:dyDescent="0.25">
      <c r="A1265" t="str">
        <f>"QUANA3VR-4WW1"</f>
        <v>QUANA3VR-4WW1</v>
      </c>
      <c r="B1265" t="str">
        <f>"QUAN, Wandaußenleuchte, LED 4,2W, Raster, 3000K, vertikal, weiß"</f>
        <v>QUAN, Wandaußenleuchte, LED 4,2W, Raster, 3000K, vertikal, weiß</v>
      </c>
      <c r="C1265" t="str">
        <f t="shared" si="65"/>
        <v>179</v>
      </c>
      <c r="D1265" s="1">
        <v>285</v>
      </c>
    </row>
    <row r="1266" spans="1:4" x14ac:dyDescent="0.25">
      <c r="A1266" t="str">
        <f>"QUANA3VR-4WW6"</f>
        <v>QUANA3VR-4WW6</v>
      </c>
      <c r="B1266" t="str">
        <f>"QUAN, Wandaußenleuchte, LED 4,2W, Raster, 3000K, vertikal, graphitgrau"</f>
        <v>QUAN, Wandaußenleuchte, LED 4,2W, Raster, 3000K, vertikal, graphitgrau</v>
      </c>
      <c r="C1266" t="str">
        <f t="shared" si="65"/>
        <v>179</v>
      </c>
      <c r="D1266" s="1">
        <v>285</v>
      </c>
    </row>
    <row r="1267" spans="1:4" x14ac:dyDescent="0.25">
      <c r="A1267" t="str">
        <f>"QUANA3VR-4WW7"</f>
        <v>QUANA3VR-4WW7</v>
      </c>
      <c r="B1267" t="str">
        <f>"QUAN, Wandaußenleuchte, LED 4,2W, Raster, 3000K, vertikal, metallgrau"</f>
        <v>QUAN, Wandaußenleuchte, LED 4,2W, Raster, 3000K, vertikal, metallgrau</v>
      </c>
      <c r="C1267" t="str">
        <f t="shared" si="65"/>
        <v>179</v>
      </c>
      <c r="D1267" s="1">
        <v>285</v>
      </c>
    </row>
    <row r="1268" spans="1:4" x14ac:dyDescent="0.25">
      <c r="A1268" t="str">
        <f>"QUANG1H-2NW"</f>
        <v>QUANG1H-2NW</v>
      </c>
      <c r="B1268" t="str">
        <f>"QUAN, Wandaußenleuchte, LED 2W, 4000K, horizontal, Glas"</f>
        <v>QUAN, Wandaußenleuchte, LED 2W, 4000K, horizontal, Glas</v>
      </c>
      <c r="C1268" t="str">
        <f t="shared" ref="C1268:C1273" si="66">"177"</f>
        <v>177</v>
      </c>
      <c r="D1268" s="1">
        <v>157</v>
      </c>
    </row>
    <row r="1269" spans="1:4" x14ac:dyDescent="0.25">
      <c r="A1269" t="str">
        <f>"QUANG1H-2WW"</f>
        <v>QUANG1H-2WW</v>
      </c>
      <c r="B1269" t="str">
        <f>"QUAN, Wandaußenleuchte, LED 2W, 3000K, horizontal, Glas"</f>
        <v>QUAN, Wandaußenleuchte, LED 2W, 3000K, horizontal, Glas</v>
      </c>
      <c r="C1269" t="str">
        <f t="shared" si="66"/>
        <v>177</v>
      </c>
      <c r="D1269" s="1">
        <v>157</v>
      </c>
    </row>
    <row r="1270" spans="1:4" x14ac:dyDescent="0.25">
      <c r="A1270" t="str">
        <f>"QUANG2H-3NW"</f>
        <v>QUANG2H-3NW</v>
      </c>
      <c r="B1270" t="str">
        <f>"QUAN, Wandaußenleuchte, LED 3,2W, 4000K, horizontal, Glas"</f>
        <v>QUAN, Wandaußenleuchte, LED 3,2W, 4000K, horizontal, Glas</v>
      </c>
      <c r="C1270" t="str">
        <f t="shared" si="66"/>
        <v>177</v>
      </c>
      <c r="D1270" s="1">
        <v>231</v>
      </c>
    </row>
    <row r="1271" spans="1:4" x14ac:dyDescent="0.25">
      <c r="A1271" t="str">
        <f>"QUANG2H-3WW"</f>
        <v>QUANG2H-3WW</v>
      </c>
      <c r="B1271" t="str">
        <f>"QUAN, Wandaußenleuchte, LED 3,2W, 3000K, horizontal, Glas"</f>
        <v>QUAN, Wandaußenleuchte, LED 3,2W, 3000K, horizontal, Glas</v>
      </c>
      <c r="C1271" t="str">
        <f t="shared" si="66"/>
        <v>177</v>
      </c>
      <c r="D1271" s="1">
        <v>231</v>
      </c>
    </row>
    <row r="1272" spans="1:4" x14ac:dyDescent="0.25">
      <c r="A1272" t="str">
        <f>"QUANG2V-3NW"</f>
        <v>QUANG2V-3NW</v>
      </c>
      <c r="B1272" t="str">
        <f>"QUAN, Wandaußenleuchte, LED 3,2W, 4000K, vertikal, Glas"</f>
        <v>QUAN, Wandaußenleuchte, LED 3,2W, 4000K, vertikal, Glas</v>
      </c>
      <c r="C1272" t="str">
        <f t="shared" si="66"/>
        <v>177</v>
      </c>
      <c r="D1272" s="1">
        <v>231</v>
      </c>
    </row>
    <row r="1273" spans="1:4" x14ac:dyDescent="0.25">
      <c r="A1273" t="str">
        <f>"QUANG2V-3WW"</f>
        <v>QUANG2V-3WW</v>
      </c>
      <c r="B1273" t="str">
        <f>"QUAN, Wandaußenleuchte, LED 3,2W, 3000K, vertikal, Glas"</f>
        <v>QUAN, Wandaußenleuchte, LED 3,2W, 3000K, vertikal, Glas</v>
      </c>
      <c r="C1273" t="str">
        <f t="shared" si="66"/>
        <v>177</v>
      </c>
      <c r="D1273" s="1">
        <v>231</v>
      </c>
    </row>
    <row r="1274" spans="1:4" x14ac:dyDescent="0.25">
      <c r="A1274" t="str">
        <f>"QUANG3H-4NW"</f>
        <v>QUANG3H-4NW</v>
      </c>
      <c r="B1274" t="str">
        <f>"QUAN, Wandaußenleuchte, LED 4,2W, 4000K, horizontal, Glas"</f>
        <v>QUAN, Wandaußenleuchte, LED 4,2W, 4000K, horizontal, Glas</v>
      </c>
      <c r="C1274" t="str">
        <f>"179"</f>
        <v>179</v>
      </c>
      <c r="D1274" s="1">
        <v>302</v>
      </c>
    </row>
    <row r="1275" spans="1:4" x14ac:dyDescent="0.25">
      <c r="A1275" t="str">
        <f>"QUANG3H-4WW"</f>
        <v>QUANG3H-4WW</v>
      </c>
      <c r="B1275" t="str">
        <f>"QUAN, Wandaußenleuchte, LED 4,2W, 3000K, horizontal, Glas"</f>
        <v>QUAN, Wandaußenleuchte, LED 4,2W, 3000K, horizontal, Glas</v>
      </c>
      <c r="C1275" t="str">
        <f>"179"</f>
        <v>179</v>
      </c>
      <c r="D1275" s="1">
        <v>302</v>
      </c>
    </row>
    <row r="1276" spans="1:4" x14ac:dyDescent="0.25">
      <c r="A1276" t="str">
        <f>"QUANP1S-13NW6"</f>
        <v>QUANP1S-13NW6</v>
      </c>
      <c r="B1276" t="str">
        <f>"5597GR4K Quantum Alu-Mast, LED,13W, mit Sensor, H=825 mm, 4000K, graphitgrau"</f>
        <v>5597GR4K Quantum Alu-Mast, LED,13W, mit Sensor, H=825 mm, 4000K, graphitgrau</v>
      </c>
      <c r="C1276" t="str">
        <f t="shared" ref="C1276:C1291" si="67">"221"</f>
        <v>221</v>
      </c>
      <c r="D1276" s="1">
        <v>509</v>
      </c>
    </row>
    <row r="1277" spans="1:4" x14ac:dyDescent="0.25">
      <c r="A1277" t="str">
        <f>"QUANP1S-13NW7"</f>
        <v>QUANP1S-13NW7</v>
      </c>
      <c r="B1277" t="str">
        <f>"5597GM4K Quantum Alu-Mast, LED,13W, mit Sensor, H=825 mm, 4000K, metallgrau"</f>
        <v>5597GM4K Quantum Alu-Mast, LED,13W, mit Sensor, H=825 mm, 4000K, metallgrau</v>
      </c>
      <c r="C1277" t="str">
        <f t="shared" si="67"/>
        <v>221</v>
      </c>
      <c r="D1277" s="1">
        <v>509</v>
      </c>
    </row>
    <row r="1278" spans="1:4" x14ac:dyDescent="0.25">
      <c r="A1278" t="str">
        <f>"QUANP1S-13WW6"</f>
        <v>QUANP1S-13WW6</v>
      </c>
      <c r="B1278" t="str">
        <f>"5597GR3K Quantum Alu-Mast, LED,13W, mit Sensor, H=825 mm, 3000K, graphitgrau"</f>
        <v>5597GR3K Quantum Alu-Mast, LED,13W, mit Sensor, H=825 mm, 3000K, graphitgrau</v>
      </c>
      <c r="C1278" t="str">
        <f t="shared" si="67"/>
        <v>221</v>
      </c>
      <c r="D1278" s="1">
        <v>509</v>
      </c>
    </row>
    <row r="1279" spans="1:4" x14ac:dyDescent="0.25">
      <c r="A1279" t="str">
        <f>"QUANP1S-13WW7"</f>
        <v>QUANP1S-13WW7</v>
      </c>
      <c r="B1279" t="str">
        <f>"5597GM3K Quantum Alu-Mast, LED,13W, mit Sensor, H=825 mm, 3000K, metallgrau"</f>
        <v>5597GM3K Quantum Alu-Mast, LED,13W, mit Sensor, H=825 mm, 3000K, metallgrau</v>
      </c>
      <c r="C1279" t="str">
        <f t="shared" si="67"/>
        <v>221</v>
      </c>
      <c r="D1279" s="1">
        <v>509</v>
      </c>
    </row>
    <row r="1280" spans="1:4" x14ac:dyDescent="0.25">
      <c r="A1280" t="str">
        <f>"QUANP1-13NW6"</f>
        <v>QUANP1-13NW6</v>
      </c>
      <c r="B1280" t="str">
        <f>"5593GR4K Quantum Alu-Mast, LED,13W, H=825 mm, 4000K, graphitgrau"</f>
        <v>5593GR4K Quantum Alu-Mast, LED,13W, H=825 mm, 4000K, graphitgrau</v>
      </c>
      <c r="C1280" t="str">
        <f t="shared" si="67"/>
        <v>221</v>
      </c>
      <c r="D1280" s="1">
        <v>416.5</v>
      </c>
    </row>
    <row r="1281" spans="1:4" x14ac:dyDescent="0.25">
      <c r="A1281" t="str">
        <f>"QUANP1-13NW7"</f>
        <v>QUANP1-13NW7</v>
      </c>
      <c r="B1281" t="str">
        <f>"5593GM4K Quantum Alu-Mast, LED,13W, H=825 mm, 4000K, metallgrau"</f>
        <v>5593GM4K Quantum Alu-Mast, LED,13W, H=825 mm, 4000K, metallgrau</v>
      </c>
      <c r="C1281" t="str">
        <f t="shared" si="67"/>
        <v>221</v>
      </c>
      <c r="D1281" s="1">
        <v>416.5</v>
      </c>
    </row>
    <row r="1282" spans="1:4" x14ac:dyDescent="0.25">
      <c r="A1282" t="str">
        <f>"QUANP1-13WW6"</f>
        <v>QUANP1-13WW6</v>
      </c>
      <c r="B1282" t="str">
        <f>"5593GR3K Quantum Alu-Mast, LED,13W, H=825 mm, 3000K, graphitgrau"</f>
        <v>5593GR3K Quantum Alu-Mast, LED,13W, H=825 mm, 3000K, graphitgrau</v>
      </c>
      <c r="C1282" t="str">
        <f t="shared" si="67"/>
        <v>221</v>
      </c>
      <c r="D1282" s="1">
        <v>416.5</v>
      </c>
    </row>
    <row r="1283" spans="1:4" x14ac:dyDescent="0.25">
      <c r="A1283" t="str">
        <f>"QUANP1-13WW7"</f>
        <v>QUANP1-13WW7</v>
      </c>
      <c r="B1283" t="str">
        <f>"5593GM3K Quantum Alu-Mast, LED,13W, H=825 mm, 3000K, metallgrau"</f>
        <v>5593GM3K Quantum Alu-Mast, LED,13W, H=825 mm, 3000K, metallgrau</v>
      </c>
      <c r="C1283" t="str">
        <f t="shared" si="67"/>
        <v>221</v>
      </c>
      <c r="D1283" s="1">
        <v>416.5</v>
      </c>
    </row>
    <row r="1284" spans="1:4" x14ac:dyDescent="0.25">
      <c r="A1284" t="str">
        <f>"QUANP2S-13NW6"</f>
        <v>QUANP2S-13NW6</v>
      </c>
      <c r="B1284" t="str">
        <f>"5599GR4K Quantum Alu-Mast, LED, 13W, mit Sensor, H=580 mm, 4000K, graphitgrau"</f>
        <v>5599GR4K Quantum Alu-Mast, LED, 13W, mit Sensor, H=580 mm, 4000K, graphitgrau</v>
      </c>
      <c r="C1284" t="str">
        <f t="shared" si="67"/>
        <v>221</v>
      </c>
      <c r="D1284" s="1">
        <v>477.5</v>
      </c>
    </row>
    <row r="1285" spans="1:4" x14ac:dyDescent="0.25">
      <c r="A1285" t="str">
        <f>"QUANP2S-13NW7"</f>
        <v>QUANP2S-13NW7</v>
      </c>
      <c r="B1285" t="str">
        <f>"5599GM4K Quantum Alu-Mast, LED, 13W, mit Sensor, H=580 mm, 4000K, metallgrau"</f>
        <v>5599GM4K Quantum Alu-Mast, LED, 13W, mit Sensor, H=580 mm, 4000K, metallgrau</v>
      </c>
      <c r="C1285" t="str">
        <f t="shared" si="67"/>
        <v>221</v>
      </c>
      <c r="D1285" s="1">
        <v>477.5</v>
      </c>
    </row>
    <row r="1286" spans="1:4" x14ac:dyDescent="0.25">
      <c r="A1286" t="str">
        <f>"QUANP2S-13WW6"</f>
        <v>QUANP2S-13WW6</v>
      </c>
      <c r="B1286" t="str">
        <f>"5599GR3K Quantum Alu-Mast, LED, 13W, mit Sensor, H=580 mm, 3000K, graphitgrau"</f>
        <v>5599GR3K Quantum Alu-Mast, LED, 13W, mit Sensor, H=580 mm, 3000K, graphitgrau</v>
      </c>
      <c r="C1286" t="str">
        <f t="shared" si="67"/>
        <v>221</v>
      </c>
      <c r="D1286" s="1">
        <v>477.5</v>
      </c>
    </row>
    <row r="1287" spans="1:4" x14ac:dyDescent="0.25">
      <c r="A1287" t="str">
        <f>"QUANP2S-13WW7"</f>
        <v>QUANP2S-13WW7</v>
      </c>
      <c r="B1287" t="str">
        <f>"5599GM3K Quantum Alu-Mast, LED, 13W, mit Sensor, H=580 mm, 3000K, metallgrau"</f>
        <v>5599GM3K Quantum Alu-Mast, LED, 13W, mit Sensor, H=580 mm, 3000K, metallgrau</v>
      </c>
      <c r="C1287" t="str">
        <f t="shared" si="67"/>
        <v>221</v>
      </c>
      <c r="D1287" s="1">
        <v>477.5</v>
      </c>
    </row>
    <row r="1288" spans="1:4" x14ac:dyDescent="0.25">
      <c r="A1288" t="str">
        <f>"QUANP2-13NW6"</f>
        <v>QUANP2-13NW6</v>
      </c>
      <c r="B1288" t="str">
        <f>"5594GR4K Quantum Alu-Mast, LED, 13W, H=580 mm, 4000K, graphitgrau"</f>
        <v>5594GR4K Quantum Alu-Mast, LED, 13W, H=580 mm, 4000K, graphitgrau</v>
      </c>
      <c r="C1288" t="str">
        <f t="shared" si="67"/>
        <v>221</v>
      </c>
      <c r="D1288" s="1">
        <v>386.5</v>
      </c>
    </row>
    <row r="1289" spans="1:4" x14ac:dyDescent="0.25">
      <c r="A1289" t="str">
        <f>"QUANP2-13NW7"</f>
        <v>QUANP2-13NW7</v>
      </c>
      <c r="B1289" t="str">
        <f>"5594GM4K Quantum Alu-Mast, LED, 13W, H=580 mm, 4000K, metallgrau"</f>
        <v>5594GM4K Quantum Alu-Mast, LED, 13W, H=580 mm, 4000K, metallgrau</v>
      </c>
      <c r="C1289" t="str">
        <f t="shared" si="67"/>
        <v>221</v>
      </c>
      <c r="D1289" s="1">
        <v>386.5</v>
      </c>
    </row>
    <row r="1290" spans="1:4" x14ac:dyDescent="0.25">
      <c r="A1290" t="str">
        <f>"QUANP2-13WW6"</f>
        <v>QUANP2-13WW6</v>
      </c>
      <c r="B1290" t="str">
        <f>"5594GR3K Quantum Alu-Mast, LED, 13W, H=580 mm, 3000K, graphitgrau"</f>
        <v>5594GR3K Quantum Alu-Mast, LED, 13W, H=580 mm, 3000K, graphitgrau</v>
      </c>
      <c r="C1290" t="str">
        <f t="shared" si="67"/>
        <v>221</v>
      </c>
      <c r="D1290" s="1">
        <v>386.5</v>
      </c>
    </row>
    <row r="1291" spans="1:4" x14ac:dyDescent="0.25">
      <c r="A1291" t="str">
        <f>"QUANP2-13WW7"</f>
        <v>QUANP2-13WW7</v>
      </c>
      <c r="B1291" t="str">
        <f>"5594GM3K Quantum Alu-Mast, LED, 13W, H=580 mm, 3000K, metallgrau"</f>
        <v>5594GM3K Quantum Alu-Mast, LED, 13W, H=580 mm, 3000K, metallgrau</v>
      </c>
      <c r="C1291" t="str">
        <f t="shared" si="67"/>
        <v>221</v>
      </c>
      <c r="D1291" s="1">
        <v>386.5</v>
      </c>
    </row>
    <row r="1292" spans="1:4" x14ac:dyDescent="0.25">
      <c r="A1292" t="str">
        <f>"RAF-42SCW7D"</f>
        <v>RAF-42SCW7D</v>
      </c>
      <c r="B1292" t="str">
        <f>"Anbauleuchte LED ca. 38W, 6500K, CRI &gt;90, 1195mm, mit Schlüsselschalter"</f>
        <v>Anbauleuchte LED ca. 38W, 6500K, CRI &gt;90, 1195mm, mit Schlüsselschalter</v>
      </c>
      <c r="C1292" t="str">
        <f>"105"</f>
        <v>105</v>
      </c>
      <c r="D1292" s="1">
        <v>727.75</v>
      </c>
    </row>
    <row r="1293" spans="1:4" x14ac:dyDescent="0.25">
      <c r="A1293" t="str">
        <f>"RAF-42SCW7D-1-10V"</f>
        <v>RAF-42SCW7D-1-10V</v>
      </c>
      <c r="B1293" t="str">
        <f>"Anbauleuchte LED ca. 38W, 6500K, CRI &gt;90, 1195mm, EVG DIM 1-10V"</f>
        <v>Anbauleuchte LED ca. 38W, 6500K, CRI &gt;90, 1195mm, EVG DIM 1-10V</v>
      </c>
      <c r="C1293" t="str">
        <f>"105"</f>
        <v>105</v>
      </c>
      <c r="D1293" s="1">
        <v>727.75</v>
      </c>
    </row>
    <row r="1294" spans="1:4" x14ac:dyDescent="0.25">
      <c r="A1294" t="str">
        <f>"SCH-M131N"</f>
        <v>SCH-M131N</v>
      </c>
      <c r="B1294" t="str">
        <f>"Stromschienen Clip, 30mm für Rohrpendelaufhängung, verkehrsweiß"</f>
        <v>Stromschienen Clip, 30mm für Rohrpendelaufhängung, verkehrsweiß</v>
      </c>
      <c r="C1294" t="str">
        <f t="shared" ref="C1294:C1299" si="68">"32"</f>
        <v>32</v>
      </c>
      <c r="D1294" s="1">
        <v>3</v>
      </c>
    </row>
    <row r="1295" spans="1:4" x14ac:dyDescent="0.25">
      <c r="A1295" t="str">
        <f>"SCH-M132"</f>
        <v>SCH-M132</v>
      </c>
      <c r="B1295" t="str">
        <f>"Stromschienen Clip, 30mm für Rohrpendelaufhängung, schwarz"</f>
        <v>Stromschienen Clip, 30mm für Rohrpendelaufhängung, schwarz</v>
      </c>
      <c r="C1295" t="str">
        <f t="shared" si="68"/>
        <v>32</v>
      </c>
      <c r="D1295" s="1">
        <v>3</v>
      </c>
    </row>
    <row r="1296" spans="1:4" x14ac:dyDescent="0.25">
      <c r="A1296" t="str">
        <f>"SCH-M137"</f>
        <v>SCH-M137</v>
      </c>
      <c r="B1296" t="str">
        <f>"Stromschienen Clip, 30mm für Rohrpendelaufhängung, vernickelt"</f>
        <v>Stromschienen Clip, 30mm für Rohrpendelaufhängung, vernickelt</v>
      </c>
      <c r="C1296" t="str">
        <f t="shared" si="68"/>
        <v>32</v>
      </c>
      <c r="D1296" s="1">
        <v>3</v>
      </c>
    </row>
    <row r="1297" spans="1:4" x14ac:dyDescent="0.25">
      <c r="A1297" t="str">
        <f>"SCH-001KLN"</f>
        <v>SCH-001KLN</v>
      </c>
      <c r="B1297" t="str">
        <f>"Kombination Deckenclip SCH-001 mit Klammer, verkehrsweiß"</f>
        <v>Kombination Deckenclip SCH-001 mit Klammer, verkehrsweiß</v>
      </c>
      <c r="C1297" t="str">
        <f t="shared" si="68"/>
        <v>32</v>
      </c>
      <c r="D1297" s="1">
        <v>5</v>
      </c>
    </row>
    <row r="1298" spans="1:4" x14ac:dyDescent="0.25">
      <c r="A1298" t="str">
        <f>"SCH-001N"</f>
        <v>SCH-001N</v>
      </c>
      <c r="B1298" t="str">
        <f>"Deckenclip M6 für Rasterdecken, verkehrsweiß"</f>
        <v>Deckenclip M6 für Rasterdecken, verkehrsweiß</v>
      </c>
      <c r="C1298" t="str">
        <f t="shared" si="68"/>
        <v>32</v>
      </c>
      <c r="D1298" s="1">
        <v>1.74</v>
      </c>
    </row>
    <row r="1299" spans="1:4" x14ac:dyDescent="0.25">
      <c r="A1299" t="str">
        <f>"SCH-008"</f>
        <v>SCH-008</v>
      </c>
      <c r="B1299" t="str">
        <f>"Kappe M6i mit Rändelung, Bohrung 2,2mm"</f>
        <v>Kappe M6i mit Rändelung, Bohrung 2,2mm</v>
      </c>
      <c r="C1299" t="str">
        <f t="shared" si="68"/>
        <v>32</v>
      </c>
      <c r="D1299" s="1">
        <v>1.25</v>
      </c>
    </row>
    <row r="1300" spans="1:4" x14ac:dyDescent="0.25">
      <c r="A1300" t="str">
        <f>"SCH-012171N"</f>
        <v>SCH-012171N</v>
      </c>
      <c r="B1300" t="str">
        <f>"Endkappe für 3~ Aufbauschiene, verkehrsweiß  "</f>
        <v xml:space="preserve">Endkappe für 3~ Aufbauschiene, verkehrsweiß  </v>
      </c>
      <c r="C1300" t="str">
        <f>"27"</f>
        <v>27</v>
      </c>
      <c r="D1300" s="1">
        <v>1.5</v>
      </c>
    </row>
    <row r="1301" spans="1:4" x14ac:dyDescent="0.25">
      <c r="A1301" t="str">
        <f>"SCH-012172"</f>
        <v>SCH-012172</v>
      </c>
      <c r="B1301" t="str">
        <f>"Endkappe für 3~Aufbauschiene, schwarz"</f>
        <v>Endkappe für 3~Aufbauschiene, schwarz</v>
      </c>
      <c r="C1301" t="str">
        <f>"27"</f>
        <v>27</v>
      </c>
      <c r="D1301" s="1">
        <v>1.5</v>
      </c>
    </row>
    <row r="1302" spans="1:4" x14ac:dyDescent="0.25">
      <c r="A1302" t="str">
        <f>"SCH-012177"</f>
        <v>SCH-012177</v>
      </c>
      <c r="B1302" t="str">
        <f>"Endkappe für 3~ Aufbauschiene, silber"</f>
        <v>Endkappe für 3~ Aufbauschiene, silber</v>
      </c>
      <c r="C1302" t="str">
        <f>"27"</f>
        <v>27</v>
      </c>
      <c r="D1302" s="1">
        <v>3</v>
      </c>
    </row>
    <row r="1303" spans="1:4" x14ac:dyDescent="0.25">
      <c r="A1303" t="str">
        <f>"SCH-032171N"</f>
        <v>SCH-032171N</v>
      </c>
      <c r="B1303" t="str">
        <f>"Endkappe mit Deckenauflage für  3~ Einbauschiene, verkehrsweiß"</f>
        <v>Endkappe mit Deckenauflage für  3~ Einbauschiene, verkehrsweiß</v>
      </c>
      <c r="C1303" t="str">
        <f>"35"</f>
        <v>35</v>
      </c>
      <c r="D1303" s="1">
        <v>4.25</v>
      </c>
    </row>
    <row r="1304" spans="1:4" x14ac:dyDescent="0.25">
      <c r="A1304" t="str">
        <f>"SCH-032172"</f>
        <v>SCH-032172</v>
      </c>
      <c r="B1304" t="str">
        <f>"Endkappe mit Deckenauflage für  3~ Einbauschiene, schwarz"</f>
        <v>Endkappe mit Deckenauflage für  3~ Einbauschiene, schwarz</v>
      </c>
      <c r="C1304" t="str">
        <f>"35"</f>
        <v>35</v>
      </c>
      <c r="D1304" s="1">
        <v>4.25</v>
      </c>
    </row>
    <row r="1305" spans="1:4" x14ac:dyDescent="0.25">
      <c r="A1305" t="str">
        <f>"SCH-053210"</f>
        <v>SCH-053210</v>
      </c>
      <c r="B1305" t="str">
        <f>"Profilabhänger-SET für Schnellspannfeder  (6 Stück)"</f>
        <v>Profilabhänger-SET für Schnellspannfeder  (6 Stück)</v>
      </c>
      <c r="C1305" t="str">
        <f>"35"</f>
        <v>35</v>
      </c>
      <c r="D1305" s="1">
        <v>7.5</v>
      </c>
    </row>
    <row r="1306" spans="1:4" x14ac:dyDescent="0.25">
      <c r="A1306" t="str">
        <f>"SCH-0671N"</f>
        <v>SCH-0671N</v>
      </c>
      <c r="B1306" t="str">
        <f>"Universal-Haken, verkehrsweiß passend für 3-Phasen- Schienen"</f>
        <v>Universal-Haken, verkehrsweiß passend für 3-Phasen- Schienen</v>
      </c>
      <c r="C1306" t="str">
        <f>"33"</f>
        <v>33</v>
      </c>
      <c r="D1306" s="1">
        <v>4.25</v>
      </c>
    </row>
    <row r="1307" spans="1:4" x14ac:dyDescent="0.25">
      <c r="A1307" t="str">
        <f>"SCH-0672"</f>
        <v>SCH-0672</v>
      </c>
      <c r="B1307" t="str">
        <f>"Universal-Haken, schwarz passend für 3-Phasen- Schien"</f>
        <v>Universal-Haken, schwarz passend für 3-Phasen- Schien</v>
      </c>
      <c r="C1307" t="str">
        <f>"33"</f>
        <v>33</v>
      </c>
      <c r="D1307" s="1">
        <v>4.25</v>
      </c>
    </row>
    <row r="1308" spans="1:4" x14ac:dyDescent="0.25">
      <c r="A1308" t="str">
        <f>"SCH-072271N"</f>
        <v>SCH-072271N</v>
      </c>
      <c r="B1308" t="str">
        <f>"Einbautopf für Universal-Punktauslass für 3-Phasen-Adapter, verkehrsweiß"</f>
        <v>Einbautopf für Universal-Punktauslass für 3-Phasen-Adapter, verkehrsweiß</v>
      </c>
      <c r="C1308" t="str">
        <f t="shared" ref="C1308:C1313" si="69">"32"</f>
        <v>32</v>
      </c>
      <c r="D1308" s="1">
        <v>14.5</v>
      </c>
    </row>
    <row r="1309" spans="1:4" x14ac:dyDescent="0.25">
      <c r="A1309" t="str">
        <f>"SCH-072272"</f>
        <v>SCH-072272</v>
      </c>
      <c r="B1309" t="str">
        <f>"Einbautopf für Universal-Punktauslass für 3-Phasen-Adapter, schwarz"</f>
        <v>Einbautopf für Universal-Punktauslass für 3-Phasen-Adapter, schwarz</v>
      </c>
      <c r="C1309" t="str">
        <f t="shared" si="69"/>
        <v>32</v>
      </c>
      <c r="D1309" s="1">
        <v>14.5</v>
      </c>
    </row>
    <row r="1310" spans="1:4" x14ac:dyDescent="0.25">
      <c r="A1310" t="str">
        <f>"SCH-072277"</f>
        <v>SCH-072277</v>
      </c>
      <c r="B1310" t="str">
        <f>"Einbautopf für Universal-Punktauslass für 3-Phasen-Adapter, silber"</f>
        <v>Einbautopf für Universal-Punktauslass für 3-Phasen-Adapter, silber</v>
      </c>
      <c r="C1310" t="str">
        <f t="shared" si="69"/>
        <v>32</v>
      </c>
      <c r="D1310" s="1">
        <v>20</v>
      </c>
    </row>
    <row r="1311" spans="1:4" x14ac:dyDescent="0.25">
      <c r="A1311" t="str">
        <f>"SCH-072281N"</f>
        <v>SCH-072281N</v>
      </c>
      <c r="B1311" t="str">
        <f>"Aufbau-Universal-Punktauslaß für 3-Phasen-Adapter, verkehrsweiß"</f>
        <v>Aufbau-Universal-Punktauslaß für 3-Phasen-Adapter, verkehrsweiß</v>
      </c>
      <c r="C1311" t="str">
        <f t="shared" si="69"/>
        <v>32</v>
      </c>
      <c r="D1311" s="1">
        <v>55</v>
      </c>
    </row>
    <row r="1312" spans="1:4" x14ac:dyDescent="0.25">
      <c r="A1312" t="str">
        <f>"SCH-072282"</f>
        <v>SCH-072282</v>
      </c>
      <c r="B1312" t="str">
        <f>"Aufbau-Universal-Punktauslaß für 3-Phasen-Adapter, schwarz"</f>
        <v>Aufbau-Universal-Punktauslaß für 3-Phasen-Adapter, schwarz</v>
      </c>
      <c r="C1312" t="str">
        <f t="shared" si="69"/>
        <v>32</v>
      </c>
      <c r="D1312" s="1">
        <v>55</v>
      </c>
    </row>
    <row r="1313" spans="1:4" x14ac:dyDescent="0.25">
      <c r="A1313" t="str">
        <f>"SCH-072287"</f>
        <v>SCH-072287</v>
      </c>
      <c r="B1313" t="str">
        <f>"Aufbau-Universal-Punktauslaß für 3-Phasen-Adapter, silber"</f>
        <v>Aufbau-Universal-Punktauslaß für 3-Phasen-Adapter, silber</v>
      </c>
      <c r="C1313" t="str">
        <f t="shared" si="69"/>
        <v>32</v>
      </c>
      <c r="D1313" s="1">
        <v>67.5</v>
      </c>
    </row>
    <row r="1314" spans="1:4" x14ac:dyDescent="0.25">
      <c r="A1314" t="str">
        <f>"SCH-0751N"</f>
        <v>SCH-0751N</v>
      </c>
      <c r="B1314" t="str">
        <f>"Pendelclip 50mm für Abhängung durch Seil-od. Pendelaufhängung"</f>
        <v>Pendelclip 50mm für Abhängung durch Seil-od. Pendelaufhängung</v>
      </c>
      <c r="C1314" t="str">
        <f t="shared" ref="C1314:C1324" si="70">"33"</f>
        <v>33</v>
      </c>
      <c r="D1314" s="1">
        <v>6</v>
      </c>
    </row>
    <row r="1315" spans="1:4" x14ac:dyDescent="0.25">
      <c r="A1315" t="str">
        <f>"SCH-0752"</f>
        <v>SCH-0752</v>
      </c>
      <c r="B1315" t="str">
        <f>"Pendelclip 50mm für Abhängung durch Seil-od. Pendelaufhängung"</f>
        <v>Pendelclip 50mm für Abhängung durch Seil-od. Pendelaufhängung</v>
      </c>
      <c r="C1315" t="str">
        <f t="shared" si="70"/>
        <v>33</v>
      </c>
      <c r="D1315" s="1">
        <v>6</v>
      </c>
    </row>
    <row r="1316" spans="1:4" x14ac:dyDescent="0.25">
      <c r="A1316" t="str">
        <f>"SCH-0757"</f>
        <v>SCH-0757</v>
      </c>
      <c r="B1316" t="str">
        <f>"Pendelclip 50mm für Abhängung durch Seil-od. Pendelaufhängun"</f>
        <v>Pendelclip 50mm für Abhängung durch Seil-od. Pendelaufhängun</v>
      </c>
      <c r="C1316" t="str">
        <f t="shared" si="70"/>
        <v>33</v>
      </c>
      <c r="D1316" s="1">
        <v>7.5</v>
      </c>
    </row>
    <row r="1317" spans="1:4" x14ac:dyDescent="0.25">
      <c r="A1317" t="str">
        <f>"SCH-0831N"</f>
        <v>SCH-0831N</v>
      </c>
      <c r="B1317" t="str">
        <f>"Montagenippel für Schnurpendel verkehrsweiß "</f>
        <v xml:space="preserve">Montagenippel für Schnurpendel verkehrsweiß </v>
      </c>
      <c r="C1317" t="str">
        <f t="shared" si="70"/>
        <v>33</v>
      </c>
      <c r="D1317" s="1">
        <v>2.5</v>
      </c>
    </row>
    <row r="1318" spans="1:4" x14ac:dyDescent="0.25">
      <c r="A1318" t="str">
        <f>"SCH-0832"</f>
        <v>SCH-0832</v>
      </c>
      <c r="B1318" t="str">
        <f>"Montagenippel für Schnurpendel schwarz "</f>
        <v xml:space="preserve">Montagenippel für Schnurpendel schwarz </v>
      </c>
      <c r="C1318" t="str">
        <f t="shared" si="70"/>
        <v>33</v>
      </c>
      <c r="D1318" s="1">
        <v>2.5</v>
      </c>
    </row>
    <row r="1319" spans="1:4" x14ac:dyDescent="0.25">
      <c r="A1319" t="str">
        <f>"SCH-0837"</f>
        <v>SCH-0837</v>
      </c>
      <c r="B1319" t="str">
        <f>"Montagenippel für Schnurpendel silber"</f>
        <v>Montagenippel für Schnurpendel silber</v>
      </c>
      <c r="C1319" t="str">
        <f t="shared" si="70"/>
        <v>33</v>
      </c>
      <c r="D1319" s="1">
        <v>3.75</v>
      </c>
    </row>
    <row r="1320" spans="1:4" x14ac:dyDescent="0.25">
      <c r="A1320" t="str">
        <f>"SCH-0841N"</f>
        <v>SCH-0841N</v>
      </c>
      <c r="B1320" t="str">
        <f>"Montagenippel für Pendelrohrmontage 10mm, verkehrsweiß "</f>
        <v xml:space="preserve">Montagenippel für Pendelrohrmontage 10mm, verkehrsweiß </v>
      </c>
      <c r="C1320" t="str">
        <f t="shared" si="70"/>
        <v>33</v>
      </c>
      <c r="D1320" s="1">
        <v>2.5</v>
      </c>
    </row>
    <row r="1321" spans="1:4" x14ac:dyDescent="0.25">
      <c r="A1321" t="str">
        <f>"SCH-0842"</f>
        <v>SCH-0842</v>
      </c>
      <c r="B1321" t="str">
        <f>"Montagenippel für Pendelrohrmontage 10mm, schwarz "</f>
        <v xml:space="preserve">Montagenippel für Pendelrohrmontage 10mm, schwarz </v>
      </c>
      <c r="C1321" t="str">
        <f t="shared" si="70"/>
        <v>33</v>
      </c>
      <c r="D1321" s="1">
        <v>2.5</v>
      </c>
    </row>
    <row r="1322" spans="1:4" x14ac:dyDescent="0.25">
      <c r="A1322" t="str">
        <f>"SCH-0847"</f>
        <v>SCH-0847</v>
      </c>
      <c r="B1322" t="str">
        <f>"Montagenippel für Pendelrohrmontage 10mm, silber"</f>
        <v>Montagenippel für Pendelrohrmontage 10mm, silber</v>
      </c>
      <c r="C1322" t="str">
        <f t="shared" si="70"/>
        <v>33</v>
      </c>
      <c r="D1322" s="1">
        <v>3.75</v>
      </c>
    </row>
    <row r="1323" spans="1:4" x14ac:dyDescent="0.25">
      <c r="A1323" t="str">
        <f>"SCH-0951N"</f>
        <v>SCH-0951N</v>
      </c>
      <c r="B1323" t="str">
        <f>"Steckdosen-Multiadapter mit Sicherung 6,3AT verkehrsweiß"</f>
        <v>Steckdosen-Multiadapter mit Sicherung 6,3AT verkehrsweiß</v>
      </c>
      <c r="C1323" t="str">
        <f t="shared" si="70"/>
        <v>33</v>
      </c>
      <c r="D1323" s="1">
        <v>47.5</v>
      </c>
    </row>
    <row r="1324" spans="1:4" x14ac:dyDescent="0.25">
      <c r="A1324" t="str">
        <f>"SCH-0952"</f>
        <v>SCH-0952</v>
      </c>
      <c r="B1324" t="str">
        <f>"Steckdosen-Multiadapter mit Sicherung 6,3AT schwarz"</f>
        <v>Steckdosen-Multiadapter mit Sicherung 6,3AT schwarz</v>
      </c>
      <c r="C1324" t="str">
        <f t="shared" si="70"/>
        <v>33</v>
      </c>
      <c r="D1324" s="1">
        <v>47.5</v>
      </c>
    </row>
    <row r="1325" spans="1:4" x14ac:dyDescent="0.25">
      <c r="A1325" t="str">
        <f>"SCH-101N"</f>
        <v>SCH-101N</v>
      </c>
      <c r="B1325" t="str">
        <f>"3-Phasen-Aufbau-Schiene, 1m, verkehrsweiß"</f>
        <v>3-Phasen-Aufbau-Schiene, 1m, verkehrsweiß</v>
      </c>
      <c r="C1325" t="str">
        <f t="shared" ref="C1325:C1363" si="71">"27"</f>
        <v>27</v>
      </c>
      <c r="D1325" s="1">
        <v>27.5</v>
      </c>
    </row>
    <row r="1326" spans="1:4" x14ac:dyDescent="0.25">
      <c r="A1326" t="str">
        <f>"SCH-102"</f>
        <v>SCH-102</v>
      </c>
      <c r="B1326" t="str">
        <f>"3-Phasen-Aufbau-Schiene, 1m, schwarz"</f>
        <v>3-Phasen-Aufbau-Schiene, 1m, schwarz</v>
      </c>
      <c r="C1326" t="str">
        <f t="shared" si="71"/>
        <v>27</v>
      </c>
      <c r="D1326" s="1">
        <v>27.5</v>
      </c>
    </row>
    <row r="1327" spans="1:4" x14ac:dyDescent="0.25">
      <c r="A1327" t="str">
        <f>"SCH-107"</f>
        <v>SCH-107</v>
      </c>
      <c r="B1327" t="str">
        <f>"3-Phasen-Aufbau-Schiene, 1m, alu-silber-eloxiert"</f>
        <v>3-Phasen-Aufbau-Schiene, 1m, alu-silber-eloxiert</v>
      </c>
      <c r="C1327" t="str">
        <f t="shared" si="71"/>
        <v>27</v>
      </c>
      <c r="D1327" s="1">
        <v>27.5</v>
      </c>
    </row>
    <row r="1328" spans="1:4" x14ac:dyDescent="0.25">
      <c r="A1328" t="str">
        <f>"SCH-112011N"</f>
        <v>SCH-112011N</v>
      </c>
      <c r="B1328" t="str">
        <f>"Einspeiser, Schutzleiter rechts, verkehrsweiß "</f>
        <v xml:space="preserve">Einspeiser, Schutzleiter rechts, verkehrsweiß </v>
      </c>
      <c r="C1328" t="str">
        <f t="shared" si="71"/>
        <v>27</v>
      </c>
      <c r="D1328" s="1">
        <v>12.5</v>
      </c>
    </row>
    <row r="1329" spans="1:4" x14ac:dyDescent="0.25">
      <c r="A1329" t="str">
        <f>"SCH-112012"</f>
        <v>SCH-112012</v>
      </c>
      <c r="B1329" t="str">
        <f>"Einspeiser, Schutzleiter rechts, schwarz "</f>
        <v xml:space="preserve">Einspeiser, Schutzleiter rechts, schwarz </v>
      </c>
      <c r="C1329" t="str">
        <f t="shared" si="71"/>
        <v>27</v>
      </c>
      <c r="D1329" s="1">
        <v>12.5</v>
      </c>
    </row>
    <row r="1330" spans="1:4" x14ac:dyDescent="0.25">
      <c r="A1330" t="str">
        <f>"SCH-112017"</f>
        <v>SCH-112017</v>
      </c>
      <c r="B1330" t="str">
        <f>"Einspeiser, Schutzleiter rechts, silber "</f>
        <v xml:space="preserve">Einspeiser, Schutzleiter rechts, silber </v>
      </c>
      <c r="C1330" t="str">
        <f t="shared" si="71"/>
        <v>27</v>
      </c>
      <c r="D1330" s="1">
        <v>20</v>
      </c>
    </row>
    <row r="1331" spans="1:4" x14ac:dyDescent="0.25">
      <c r="A1331" t="str">
        <f>"SCH-112021N"</f>
        <v>SCH-112021N</v>
      </c>
      <c r="B1331" t="str">
        <f>"Einspeiser, Schutzleiter links, verkehrsweiß "</f>
        <v xml:space="preserve">Einspeiser, Schutzleiter links, verkehrsweiß </v>
      </c>
      <c r="C1331" t="str">
        <f t="shared" si="71"/>
        <v>27</v>
      </c>
      <c r="D1331" s="1">
        <v>12.5</v>
      </c>
    </row>
    <row r="1332" spans="1:4" x14ac:dyDescent="0.25">
      <c r="A1332" t="str">
        <f>"SCH-112022"</f>
        <v>SCH-112022</v>
      </c>
      <c r="B1332" t="str">
        <f>"Einspeiser, Schutzleiter links, schwarz "</f>
        <v xml:space="preserve">Einspeiser, Schutzleiter links, schwarz </v>
      </c>
      <c r="C1332" t="str">
        <f t="shared" si="71"/>
        <v>27</v>
      </c>
      <c r="D1332" s="1">
        <v>12.5</v>
      </c>
    </row>
    <row r="1333" spans="1:4" x14ac:dyDescent="0.25">
      <c r="A1333" t="str">
        <f>"SCH-112027"</f>
        <v>SCH-112027</v>
      </c>
      <c r="B1333" t="str">
        <f>"Einspeiser, Schutzleiter links, silber "</f>
        <v xml:space="preserve">Einspeiser, Schutzleiter links, silber </v>
      </c>
      <c r="C1333" t="str">
        <f t="shared" si="71"/>
        <v>27</v>
      </c>
      <c r="D1333" s="1">
        <v>20</v>
      </c>
    </row>
    <row r="1334" spans="1:4" x14ac:dyDescent="0.25">
      <c r="A1334" t="str">
        <f>"SCH-112061N"</f>
        <v>SCH-112061N</v>
      </c>
      <c r="B1334" t="str">
        <f>"Elektrischer Längsverbinder verkehrsweiß "</f>
        <v xml:space="preserve">Elektrischer Längsverbinder verkehrsweiß </v>
      </c>
      <c r="C1334" t="str">
        <f t="shared" si="71"/>
        <v>27</v>
      </c>
      <c r="D1334" s="1">
        <v>9.5</v>
      </c>
    </row>
    <row r="1335" spans="1:4" x14ac:dyDescent="0.25">
      <c r="A1335" t="str">
        <f>"SCH-112062"</f>
        <v>SCH-112062</v>
      </c>
      <c r="B1335" t="str">
        <f>"Elektrischer Längsverbinder schwarz"</f>
        <v>Elektrischer Längsverbinder schwarz</v>
      </c>
      <c r="C1335" t="str">
        <f t="shared" si="71"/>
        <v>27</v>
      </c>
      <c r="D1335" s="1">
        <v>9.5</v>
      </c>
    </row>
    <row r="1336" spans="1:4" x14ac:dyDescent="0.25">
      <c r="A1336" t="str">
        <f>"SCH-112067"</f>
        <v>SCH-112067</v>
      </c>
      <c r="B1336" t="str">
        <f>"Elektrischer Längsverbinder silber"</f>
        <v>Elektrischer Längsverbinder silber</v>
      </c>
      <c r="C1336" t="str">
        <f t="shared" si="71"/>
        <v>27</v>
      </c>
      <c r="D1336" s="1">
        <v>13.5</v>
      </c>
    </row>
    <row r="1337" spans="1:4" x14ac:dyDescent="0.25">
      <c r="A1337" t="str">
        <f>"SCH-112081N"</f>
        <v>SCH-112081N</v>
      </c>
      <c r="B1337" t="str">
        <f>"Längsverbinder mit Einspeisemöglichkeit, verkehrsweiß "</f>
        <v xml:space="preserve">Längsverbinder mit Einspeisemöglichkeit, verkehrsweiß </v>
      </c>
      <c r="C1337" t="str">
        <f t="shared" si="71"/>
        <v>27</v>
      </c>
      <c r="D1337" s="1">
        <v>27.5</v>
      </c>
    </row>
    <row r="1338" spans="1:4" x14ac:dyDescent="0.25">
      <c r="A1338" t="str">
        <f>"SCH-112082"</f>
        <v>SCH-112082</v>
      </c>
      <c r="B1338" t="str">
        <f>"Längsverbinder mit Einspeisemöglichkeit, schwarz "</f>
        <v xml:space="preserve">Längsverbinder mit Einspeisemöglichkeit, schwarz </v>
      </c>
      <c r="C1338" t="str">
        <f t="shared" si="71"/>
        <v>27</v>
      </c>
      <c r="D1338" s="1">
        <v>27.5</v>
      </c>
    </row>
    <row r="1339" spans="1:4" x14ac:dyDescent="0.25">
      <c r="A1339" t="str">
        <f>"SCH-112087"</f>
        <v>SCH-112087</v>
      </c>
      <c r="B1339" t="str">
        <f>"Längsverbinder mit Einspeisemöglichkeit, silber "</f>
        <v xml:space="preserve">Längsverbinder mit Einspeisemöglichkeit, silber </v>
      </c>
      <c r="C1339" t="str">
        <f t="shared" si="71"/>
        <v>27</v>
      </c>
      <c r="D1339" s="1">
        <v>50</v>
      </c>
    </row>
    <row r="1340" spans="1:4" x14ac:dyDescent="0.25">
      <c r="A1340" t="str">
        <f>"SCH-112091N"</f>
        <v>SCH-112091N</v>
      </c>
      <c r="B1340" t="str">
        <f>"Eckverbinder mit Einspeisemöglichkeit, Schutzleiter aussen, verkehrsweiß"</f>
        <v>Eckverbinder mit Einspeisemöglichkeit, Schutzleiter aussen, verkehrsweiß</v>
      </c>
      <c r="C1340" t="str">
        <f t="shared" si="71"/>
        <v>27</v>
      </c>
      <c r="D1340" s="1">
        <v>27.5</v>
      </c>
    </row>
    <row r="1341" spans="1:4" x14ac:dyDescent="0.25">
      <c r="A1341" t="str">
        <f>"SCH-112092"</f>
        <v>SCH-112092</v>
      </c>
      <c r="B1341" t="str">
        <f>"Eckverbinder mit Einspeisemöglichkeit, Schutzleiter aussen, schwarz"</f>
        <v>Eckverbinder mit Einspeisemöglichkeit, Schutzleiter aussen, schwarz</v>
      </c>
      <c r="C1341" t="str">
        <f t="shared" si="71"/>
        <v>27</v>
      </c>
      <c r="D1341" s="1">
        <v>27.5</v>
      </c>
    </row>
    <row r="1342" spans="1:4" x14ac:dyDescent="0.25">
      <c r="A1342" t="str">
        <f>"SCH-112097"</f>
        <v>SCH-112097</v>
      </c>
      <c r="B1342" t="str">
        <f>"Eckverbinder mit Einspeisemöglichkeit, Schutzleiter aussen, silber"</f>
        <v>Eckverbinder mit Einspeisemöglichkeit, Schutzleiter aussen, silber</v>
      </c>
      <c r="C1342" t="str">
        <f t="shared" si="71"/>
        <v>27</v>
      </c>
      <c r="D1342" s="1">
        <v>50</v>
      </c>
    </row>
    <row r="1343" spans="1:4" x14ac:dyDescent="0.25">
      <c r="A1343" t="str">
        <f>"SCH-112101N"</f>
        <v>SCH-112101N</v>
      </c>
      <c r="B1343" t="str">
        <f>"Eckverbinder mit Einspeisemöglichkeit, Schutzleiter innen, verkehrsweiß"</f>
        <v>Eckverbinder mit Einspeisemöglichkeit, Schutzleiter innen, verkehrsweiß</v>
      </c>
      <c r="C1343" t="str">
        <f t="shared" si="71"/>
        <v>27</v>
      </c>
      <c r="D1343" s="1">
        <v>27.5</v>
      </c>
    </row>
    <row r="1344" spans="1:4" x14ac:dyDescent="0.25">
      <c r="A1344" t="str">
        <f>"SCH-112102"</f>
        <v>SCH-112102</v>
      </c>
      <c r="B1344" t="str">
        <f>"Eckverbinder mit Einspeisemöglichkeit, Schutzleiter innen, schwarz"</f>
        <v>Eckverbinder mit Einspeisemöglichkeit, Schutzleiter innen, schwarz</v>
      </c>
      <c r="C1344" t="str">
        <f t="shared" si="71"/>
        <v>27</v>
      </c>
      <c r="D1344" s="1">
        <v>27.5</v>
      </c>
    </row>
    <row r="1345" spans="1:4" x14ac:dyDescent="0.25">
      <c r="A1345" t="str">
        <f>"SCH-112107"</f>
        <v>SCH-112107</v>
      </c>
      <c r="B1345" t="str">
        <f>"Eckverbinder mit Einspeisemöglichkeit, Schutzleiter innen, silber"</f>
        <v>Eckverbinder mit Einspeisemöglichkeit, Schutzleiter innen, silber</v>
      </c>
      <c r="C1345" t="str">
        <f t="shared" si="71"/>
        <v>27</v>
      </c>
      <c r="D1345" s="1">
        <v>50</v>
      </c>
    </row>
    <row r="1346" spans="1:4" x14ac:dyDescent="0.25">
      <c r="A1346" t="str">
        <f>"SCH-112111N"</f>
        <v>SCH-112111N</v>
      </c>
      <c r="B1346" t="str">
        <f>"Flexible Kupplung, mit Einspeisemöglichkeit, verkehrsweiß "</f>
        <v xml:space="preserve">Flexible Kupplung, mit Einspeisemöglichkeit, verkehrsweiß </v>
      </c>
      <c r="C1346" t="str">
        <f t="shared" si="71"/>
        <v>27</v>
      </c>
      <c r="D1346" s="1">
        <v>47.5</v>
      </c>
    </row>
    <row r="1347" spans="1:4" x14ac:dyDescent="0.25">
      <c r="A1347" t="str">
        <f>"SCH-112112"</f>
        <v>SCH-112112</v>
      </c>
      <c r="B1347" t="str">
        <f>"Flexible Kupplung, mit Einspeisemöglichkeit, schwarz"</f>
        <v>Flexible Kupplung, mit Einspeisemöglichkeit, schwarz</v>
      </c>
      <c r="C1347" t="str">
        <f t="shared" si="71"/>
        <v>27</v>
      </c>
      <c r="D1347" s="1">
        <v>47.5</v>
      </c>
    </row>
    <row r="1348" spans="1:4" x14ac:dyDescent="0.25">
      <c r="A1348" t="str">
        <f>"SCH-112118"</f>
        <v>SCH-112118</v>
      </c>
      <c r="B1348" t="str">
        <f>"Flexible Kupplung, mit Einspeisemöglichkeit, grau"</f>
        <v>Flexible Kupplung, mit Einspeisemöglichkeit, grau</v>
      </c>
      <c r="C1348" t="str">
        <f t="shared" si="71"/>
        <v>27</v>
      </c>
      <c r="D1348" s="1">
        <v>47.5</v>
      </c>
    </row>
    <row r="1349" spans="1:4" x14ac:dyDescent="0.25">
      <c r="A1349" t="str">
        <f>"SCH-112121N"</f>
        <v>SCH-112121N</v>
      </c>
      <c r="B1349" t="str">
        <f>"T-Verbinder mit Einspeisemöglichkeit, Schutzleiter innen rechts, verkehrsweiß"</f>
        <v>T-Verbinder mit Einspeisemöglichkeit, Schutzleiter innen rechts, verkehrsweiß</v>
      </c>
      <c r="C1349" t="str">
        <f t="shared" si="71"/>
        <v>27</v>
      </c>
      <c r="D1349" s="1">
        <v>50</v>
      </c>
    </row>
    <row r="1350" spans="1:4" x14ac:dyDescent="0.25">
      <c r="A1350" t="str">
        <f>"SCH-112122"</f>
        <v>SCH-112122</v>
      </c>
      <c r="B1350" t="str">
        <f>"T-Verbinder mit Einspeisemöglichkeit, Schutzleiter innen rechts, schwarz"</f>
        <v>T-Verbinder mit Einspeisemöglichkeit, Schutzleiter innen rechts, schwarz</v>
      </c>
      <c r="C1350" t="str">
        <f t="shared" si="71"/>
        <v>27</v>
      </c>
      <c r="D1350" s="1">
        <v>50</v>
      </c>
    </row>
    <row r="1351" spans="1:4" x14ac:dyDescent="0.25">
      <c r="A1351" t="str">
        <f>"SCH-112127"</f>
        <v>SCH-112127</v>
      </c>
      <c r="B1351" t="str">
        <f>"T-Verbinder mit Einspeisemöglichkeit, Schutzleiter innen rechts, silber"</f>
        <v>T-Verbinder mit Einspeisemöglichkeit, Schutzleiter innen rechts, silber</v>
      </c>
      <c r="C1351" t="str">
        <f t="shared" si="71"/>
        <v>27</v>
      </c>
      <c r="D1351" s="1">
        <v>72.5</v>
      </c>
    </row>
    <row r="1352" spans="1:4" x14ac:dyDescent="0.25">
      <c r="A1352" t="str">
        <f>"SCH-112131N"</f>
        <v>SCH-112131N</v>
      </c>
      <c r="B1352" t="str">
        <f>"T-Verbinder mit Einspeisemöglichkeit, Schutzleiter innen links, verkehrsweiß"</f>
        <v>T-Verbinder mit Einspeisemöglichkeit, Schutzleiter innen links, verkehrsweiß</v>
      </c>
      <c r="C1352" t="str">
        <f t="shared" si="71"/>
        <v>27</v>
      </c>
      <c r="D1352" s="1">
        <v>50</v>
      </c>
    </row>
    <row r="1353" spans="1:4" x14ac:dyDescent="0.25">
      <c r="A1353" t="str">
        <f>"SCH-112132"</f>
        <v>SCH-112132</v>
      </c>
      <c r="B1353" t="str">
        <f>"T-Verbinder mit Einspeisemöglichkeit, Schutzleiter innen links, schwarz"</f>
        <v>T-Verbinder mit Einspeisemöglichkeit, Schutzleiter innen links, schwarz</v>
      </c>
      <c r="C1353" t="str">
        <f t="shared" si="71"/>
        <v>27</v>
      </c>
      <c r="D1353" s="1">
        <v>50</v>
      </c>
    </row>
    <row r="1354" spans="1:4" x14ac:dyDescent="0.25">
      <c r="A1354" t="str">
        <f>"SCH-112137"</f>
        <v>SCH-112137</v>
      </c>
      <c r="B1354" t="str">
        <f>"T-Verbinder mit Einspeisemöglichkeit, Schutzleiter innen links, silber"</f>
        <v>T-Verbinder mit Einspeisemöglichkeit, Schutzleiter innen links, silber</v>
      </c>
      <c r="C1354" t="str">
        <f t="shared" si="71"/>
        <v>27</v>
      </c>
      <c r="D1354" s="1">
        <v>72.5</v>
      </c>
    </row>
    <row r="1355" spans="1:4" x14ac:dyDescent="0.25">
      <c r="A1355" t="str">
        <f>"SCH-112141N"</f>
        <v>SCH-112141N</v>
      </c>
      <c r="B1355" t="str">
        <f>"T-Verbinder mit Einspeisemöglichkeit, Schutzleiter außen rechts, verkehrsweiß"</f>
        <v>T-Verbinder mit Einspeisemöglichkeit, Schutzleiter außen rechts, verkehrsweiß</v>
      </c>
      <c r="C1355" t="str">
        <f t="shared" si="71"/>
        <v>27</v>
      </c>
      <c r="D1355" s="1">
        <v>50</v>
      </c>
    </row>
    <row r="1356" spans="1:4" x14ac:dyDescent="0.25">
      <c r="A1356" t="str">
        <f>"SCH-112142"</f>
        <v>SCH-112142</v>
      </c>
      <c r="B1356" t="str">
        <f>"T-Verbinder mit Einspeisemöglichkeit, Schutzleiter außen rechts, schwarz"</f>
        <v>T-Verbinder mit Einspeisemöglichkeit, Schutzleiter außen rechts, schwarz</v>
      </c>
      <c r="C1356" t="str">
        <f t="shared" si="71"/>
        <v>27</v>
      </c>
      <c r="D1356" s="1">
        <v>50</v>
      </c>
    </row>
    <row r="1357" spans="1:4" x14ac:dyDescent="0.25">
      <c r="A1357" t="str">
        <f>"SCH-112147"</f>
        <v>SCH-112147</v>
      </c>
      <c r="B1357" t="str">
        <f>"T-Verbinder mit Einspeisemöglichkeit, Schutzleiter außen rechts, silber"</f>
        <v>T-Verbinder mit Einspeisemöglichkeit, Schutzleiter außen rechts, silber</v>
      </c>
      <c r="C1357" t="str">
        <f t="shared" si="71"/>
        <v>27</v>
      </c>
      <c r="D1357" s="1">
        <v>72.5</v>
      </c>
    </row>
    <row r="1358" spans="1:4" x14ac:dyDescent="0.25">
      <c r="A1358" t="str">
        <f>"SCH-112151N"</f>
        <v>SCH-112151N</v>
      </c>
      <c r="B1358" t="str">
        <f>"T-Verbinder mit Einspeisemöglichkeit, Schutzleiter außen links, verkehrsweiß"</f>
        <v>T-Verbinder mit Einspeisemöglichkeit, Schutzleiter außen links, verkehrsweiß</v>
      </c>
      <c r="C1358" t="str">
        <f t="shared" si="71"/>
        <v>27</v>
      </c>
      <c r="D1358" s="1">
        <v>50</v>
      </c>
    </row>
    <row r="1359" spans="1:4" x14ac:dyDescent="0.25">
      <c r="A1359" t="str">
        <f>"SCH-112152"</f>
        <v>SCH-112152</v>
      </c>
      <c r="B1359" t="str">
        <f>"T-Verbinder mit Einspeisemöglichkeit, Schutzleiter außen links, schwarz"</f>
        <v>T-Verbinder mit Einspeisemöglichkeit, Schutzleiter außen links, schwarz</v>
      </c>
      <c r="C1359" t="str">
        <f t="shared" si="71"/>
        <v>27</v>
      </c>
      <c r="D1359" s="1">
        <v>50</v>
      </c>
    </row>
    <row r="1360" spans="1:4" x14ac:dyDescent="0.25">
      <c r="A1360" t="str">
        <f>"SCH-112157"</f>
        <v>SCH-112157</v>
      </c>
      <c r="B1360" t="str">
        <f>"T-Verbinder mit Einspeisemöglichkeit, Schutzleiter außen links, silber"</f>
        <v>T-Verbinder mit Einspeisemöglichkeit, Schutzleiter außen links, silber</v>
      </c>
      <c r="C1360" t="str">
        <f t="shared" si="71"/>
        <v>27</v>
      </c>
      <c r="D1360" s="1">
        <v>72.5</v>
      </c>
    </row>
    <row r="1361" spans="1:4" x14ac:dyDescent="0.25">
      <c r="A1361" t="str">
        <f>"SCH-112161N"</f>
        <v>SCH-112161N</v>
      </c>
      <c r="B1361" t="str">
        <f>"X-Verbinder mit Einspeisemöglichkeit, verkehrsweiß "</f>
        <v xml:space="preserve">X-Verbinder mit Einspeisemöglichkeit, verkehrsweiß </v>
      </c>
      <c r="C1361" t="str">
        <f t="shared" si="71"/>
        <v>27</v>
      </c>
      <c r="D1361" s="1">
        <v>65</v>
      </c>
    </row>
    <row r="1362" spans="1:4" x14ac:dyDescent="0.25">
      <c r="A1362" t="str">
        <f>"SCH-112162"</f>
        <v>SCH-112162</v>
      </c>
      <c r="B1362" t="str">
        <f>"X-Verbinder mit Einspeisemöglichkeit, schwarz "</f>
        <v xml:space="preserve">X-Verbinder mit Einspeisemöglichkeit, schwarz </v>
      </c>
      <c r="C1362" t="str">
        <f t="shared" si="71"/>
        <v>27</v>
      </c>
      <c r="D1362" s="1">
        <v>65</v>
      </c>
    </row>
    <row r="1363" spans="1:4" x14ac:dyDescent="0.25">
      <c r="A1363" t="str">
        <f>"SCH-112167"</f>
        <v>SCH-112167</v>
      </c>
      <c r="B1363" t="str">
        <f>"X-Verbinder mit Einspeisemöglichkeit, silber"</f>
        <v>X-Verbinder mit Einspeisemöglichkeit, silber</v>
      </c>
      <c r="C1363" t="str">
        <f t="shared" si="71"/>
        <v>27</v>
      </c>
      <c r="D1363" s="1">
        <v>90</v>
      </c>
    </row>
    <row r="1364" spans="1:4" x14ac:dyDescent="0.25">
      <c r="A1364" t="str">
        <f>"SCH-1231N"</f>
        <v>SCH-1231N</v>
      </c>
      <c r="B1364" t="str">
        <f>"Stoßstellenverbinder für Seil- u. Pendelabhängung für 13mm Ø, verkehrsweiß"</f>
        <v>Stoßstellenverbinder für Seil- u. Pendelabhängung für 13mm Ø, verkehrsweiß</v>
      </c>
      <c r="C1364" t="str">
        <f>"32"</f>
        <v>32</v>
      </c>
      <c r="D1364" s="1">
        <v>11</v>
      </c>
    </row>
    <row r="1365" spans="1:4" x14ac:dyDescent="0.25">
      <c r="A1365" t="str">
        <f>"SCH-1232"</f>
        <v>SCH-1232</v>
      </c>
      <c r="B1365" t="str">
        <f>"Stoßstellenverbinder für Seil- u. Pendelabhängung für 13mm Ø"</f>
        <v>Stoßstellenverbinder für Seil- u. Pendelabhängung für 13mm Ø</v>
      </c>
      <c r="C1365" t="str">
        <f>"33"</f>
        <v>33</v>
      </c>
      <c r="D1365" s="1">
        <v>11</v>
      </c>
    </row>
    <row r="1366" spans="1:4" x14ac:dyDescent="0.25">
      <c r="A1366" t="str">
        <f>"SCH-1237"</f>
        <v>SCH-1237</v>
      </c>
      <c r="B1366" t="str">
        <f>"Stoßstellenverbinder für Seil- u. Pendelabhängung für 13mm Ø"</f>
        <v>Stoßstellenverbinder für Seil- u. Pendelabhängung für 13mm Ø</v>
      </c>
      <c r="C1366" t="str">
        <f>"32"</f>
        <v>32</v>
      </c>
      <c r="D1366" s="1">
        <v>11.75</v>
      </c>
    </row>
    <row r="1367" spans="1:4" x14ac:dyDescent="0.25">
      <c r="A1367" t="str">
        <f>"SCH-132011N"</f>
        <v>SCH-132011N</v>
      </c>
      <c r="B1367" t="str">
        <f>"Einspeiser mit umlaufender Deckenauflage, Schutzleiter rechts, verkehrsweiß"</f>
        <v>Einspeiser mit umlaufender Deckenauflage, Schutzleiter rechts, verkehrsweiß</v>
      </c>
      <c r="C1367" t="str">
        <f t="shared" ref="C1367:C1390" si="72">"35"</f>
        <v>35</v>
      </c>
      <c r="D1367" s="1">
        <v>19.5</v>
      </c>
    </row>
    <row r="1368" spans="1:4" x14ac:dyDescent="0.25">
      <c r="A1368" t="str">
        <f>"SCH-132012"</f>
        <v>SCH-132012</v>
      </c>
      <c r="B1368" t="str">
        <f>"Einspeiser mit umlaufender Deckenauflage, Schutzleiter rechts, schwarz"</f>
        <v>Einspeiser mit umlaufender Deckenauflage, Schutzleiter rechts, schwarz</v>
      </c>
      <c r="C1368" t="str">
        <f t="shared" si="72"/>
        <v>35</v>
      </c>
      <c r="D1368" s="1">
        <v>19.5</v>
      </c>
    </row>
    <row r="1369" spans="1:4" x14ac:dyDescent="0.25">
      <c r="A1369" t="str">
        <f>"SCH-132021N"</f>
        <v>SCH-132021N</v>
      </c>
      <c r="B1369" t="str">
        <f>"Einspeiser mit umlaufender Deckenauflage, Schutzleiter links, verkehrsweiß"</f>
        <v>Einspeiser mit umlaufender Deckenauflage, Schutzleiter links, verkehrsweiß</v>
      </c>
      <c r="C1369" t="str">
        <f t="shared" si="72"/>
        <v>35</v>
      </c>
      <c r="D1369" s="1">
        <v>19.5</v>
      </c>
    </row>
    <row r="1370" spans="1:4" x14ac:dyDescent="0.25">
      <c r="A1370" t="str">
        <f>"SCH-132022"</f>
        <v>SCH-132022</v>
      </c>
      <c r="B1370" t="str">
        <f>"Einspeiser mit umlaufender Deckenauflage, Schutzleiter links, schwarz"</f>
        <v>Einspeiser mit umlaufender Deckenauflage, Schutzleiter links, schwarz</v>
      </c>
      <c r="C1370" t="str">
        <f t="shared" si="72"/>
        <v>35</v>
      </c>
      <c r="D1370" s="1">
        <v>19.5</v>
      </c>
    </row>
    <row r="1371" spans="1:4" x14ac:dyDescent="0.25">
      <c r="A1371" t="str">
        <f>"SCH-132051N"</f>
        <v>SCH-132051N</v>
      </c>
      <c r="B1371" t="str">
        <f>"Endeinspeiser, innenliegend, profilbündig mit Endkappe, verkehrsweiß"</f>
        <v>Endeinspeiser, innenliegend, profilbündig mit Endkappe, verkehrsweiß</v>
      </c>
      <c r="C1371" t="str">
        <f t="shared" si="72"/>
        <v>35</v>
      </c>
      <c r="D1371" s="1">
        <v>46.25</v>
      </c>
    </row>
    <row r="1372" spans="1:4" x14ac:dyDescent="0.25">
      <c r="A1372" t="str">
        <f>"SCH-132052"</f>
        <v>SCH-132052</v>
      </c>
      <c r="B1372" t="str">
        <f>"Endeinspeiser, innenliegend, profilbündig mit Endkappe"</f>
        <v>Endeinspeiser, innenliegend, profilbündig mit Endkappe</v>
      </c>
      <c r="C1372" t="str">
        <f t="shared" si="72"/>
        <v>35</v>
      </c>
      <c r="D1372" s="1">
        <v>46.25</v>
      </c>
    </row>
    <row r="1373" spans="1:4" x14ac:dyDescent="0.25">
      <c r="A1373" t="str">
        <f>"SCH-132061N"</f>
        <v>SCH-132061N</v>
      </c>
      <c r="B1373" t="str">
        <f>"Elektrischer u. mechanischer Längsverbinder innenliegend, verkehrsweiß "</f>
        <v xml:space="preserve">Elektrischer u. mechanischer Längsverbinder innenliegend, verkehrsweiß </v>
      </c>
      <c r="C1373" t="str">
        <f t="shared" si="72"/>
        <v>35</v>
      </c>
      <c r="D1373" s="1">
        <v>14.75</v>
      </c>
    </row>
    <row r="1374" spans="1:4" x14ac:dyDescent="0.25">
      <c r="A1374" t="str">
        <f>"SCH-132062"</f>
        <v>SCH-132062</v>
      </c>
      <c r="B1374" t="str">
        <f>"Elektrischer u. mechanischer Längsverbinder innenliegend, schwarz"</f>
        <v>Elektrischer u. mechanischer Längsverbinder innenliegend, schwarz</v>
      </c>
      <c r="C1374" t="str">
        <f t="shared" si="72"/>
        <v>35</v>
      </c>
      <c r="D1374" s="1">
        <v>14.75</v>
      </c>
    </row>
    <row r="1375" spans="1:4" x14ac:dyDescent="0.25">
      <c r="A1375" t="str">
        <f>"SCH-132081N"</f>
        <v>SCH-132081N</v>
      </c>
      <c r="B1375" t="str">
        <f>"Elektrischer Längsverbinder mit Deckenauflage, Einspeisemögl., verkehrsweiß"</f>
        <v>Elektrischer Längsverbinder mit Deckenauflage, Einspeisemögl., verkehrsweiß</v>
      </c>
      <c r="C1375" t="str">
        <f t="shared" si="72"/>
        <v>35</v>
      </c>
      <c r="D1375" s="1">
        <v>39.5</v>
      </c>
    </row>
    <row r="1376" spans="1:4" x14ac:dyDescent="0.25">
      <c r="A1376" t="str">
        <f>"SCH-132082"</f>
        <v>SCH-132082</v>
      </c>
      <c r="B1376" t="str">
        <f>"Elektrischer Längsverbinder mit Deckenauflage, Einspeisemögl. schwarz"</f>
        <v>Elektrischer Längsverbinder mit Deckenauflage, Einspeisemögl. schwarz</v>
      </c>
      <c r="C1376" t="str">
        <f t="shared" si="72"/>
        <v>35</v>
      </c>
      <c r="D1376" s="1">
        <v>39.5</v>
      </c>
    </row>
    <row r="1377" spans="1:4" x14ac:dyDescent="0.25">
      <c r="A1377" t="str">
        <f>"SCH-132091N"</f>
        <v>SCH-132091N</v>
      </c>
      <c r="B1377" t="str">
        <f>"Eckverbinder mit Deckenauflage, Einspeisemöglichkeit verkehrsweiß"</f>
        <v>Eckverbinder mit Deckenauflage, Einspeisemöglichkeit verkehrsweiß</v>
      </c>
      <c r="C1377" t="str">
        <f t="shared" si="72"/>
        <v>35</v>
      </c>
      <c r="D1377" s="1">
        <v>39.5</v>
      </c>
    </row>
    <row r="1378" spans="1:4" x14ac:dyDescent="0.25">
      <c r="A1378" t="str">
        <f>"SCH-132092"</f>
        <v>SCH-132092</v>
      </c>
      <c r="B1378" t="str">
        <f>"Eckverbinder mit Deckenauflage, Einspeisemöglichkeit schwarz"</f>
        <v>Eckverbinder mit Deckenauflage, Einspeisemöglichkeit schwarz</v>
      </c>
      <c r="C1378" t="str">
        <f t="shared" si="72"/>
        <v>35</v>
      </c>
      <c r="D1378" s="1">
        <v>39.5</v>
      </c>
    </row>
    <row r="1379" spans="1:4" x14ac:dyDescent="0.25">
      <c r="A1379" t="str">
        <f>"SCH-132101N"</f>
        <v>SCH-132101N</v>
      </c>
      <c r="B1379" t="str">
        <f>"Eckverbinder mit Deckenauflage, Einspeisemöglichkeit verkehrsweiß"</f>
        <v>Eckverbinder mit Deckenauflage, Einspeisemöglichkeit verkehrsweiß</v>
      </c>
      <c r="C1379" t="str">
        <f t="shared" si="72"/>
        <v>35</v>
      </c>
      <c r="D1379" s="1">
        <v>39.5</v>
      </c>
    </row>
    <row r="1380" spans="1:4" x14ac:dyDescent="0.25">
      <c r="A1380" t="str">
        <f>"SCH-132102"</f>
        <v>SCH-132102</v>
      </c>
      <c r="B1380" t="str">
        <f>"Eckverbinder mit Deckenauflage, Einspeisemöglichkeit schwarz"</f>
        <v>Eckverbinder mit Deckenauflage, Einspeisemöglichkeit schwarz</v>
      </c>
      <c r="C1380" t="str">
        <f t="shared" si="72"/>
        <v>35</v>
      </c>
      <c r="D1380" s="1">
        <v>39.5</v>
      </c>
    </row>
    <row r="1381" spans="1:4" x14ac:dyDescent="0.25">
      <c r="A1381" t="str">
        <f>"SCH-132121N"</f>
        <v>SCH-132121N</v>
      </c>
      <c r="B1381" t="str">
        <f t="shared" ref="B1381:B1388" si="73">"T-Verbinder mit Deckenauflage, Einspeisemöglichkeit"</f>
        <v>T-Verbinder mit Deckenauflage, Einspeisemöglichkeit</v>
      </c>
      <c r="C1381" t="str">
        <f t="shared" si="72"/>
        <v>35</v>
      </c>
      <c r="D1381" s="1">
        <v>60</v>
      </c>
    </row>
    <row r="1382" spans="1:4" x14ac:dyDescent="0.25">
      <c r="A1382" t="str">
        <f>"SCH-132122"</f>
        <v>SCH-132122</v>
      </c>
      <c r="B1382" t="str">
        <f t="shared" si="73"/>
        <v>T-Verbinder mit Deckenauflage, Einspeisemöglichkeit</v>
      </c>
      <c r="C1382" t="str">
        <f t="shared" si="72"/>
        <v>35</v>
      </c>
      <c r="D1382" s="1">
        <v>60</v>
      </c>
    </row>
    <row r="1383" spans="1:4" x14ac:dyDescent="0.25">
      <c r="A1383" t="str">
        <f>"SCH-132131N"</f>
        <v>SCH-132131N</v>
      </c>
      <c r="B1383" t="str">
        <f t="shared" si="73"/>
        <v>T-Verbinder mit Deckenauflage, Einspeisemöglichkeit</v>
      </c>
      <c r="C1383" t="str">
        <f t="shared" si="72"/>
        <v>35</v>
      </c>
      <c r="D1383" s="1">
        <v>60</v>
      </c>
    </row>
    <row r="1384" spans="1:4" x14ac:dyDescent="0.25">
      <c r="A1384" t="str">
        <f>"SCH-132132"</f>
        <v>SCH-132132</v>
      </c>
      <c r="B1384" t="str">
        <f t="shared" si="73"/>
        <v>T-Verbinder mit Deckenauflage, Einspeisemöglichkeit</v>
      </c>
      <c r="C1384" t="str">
        <f t="shared" si="72"/>
        <v>35</v>
      </c>
      <c r="D1384" s="1">
        <v>60</v>
      </c>
    </row>
    <row r="1385" spans="1:4" x14ac:dyDescent="0.25">
      <c r="A1385" t="str">
        <f>"SCH-132141N"</f>
        <v>SCH-132141N</v>
      </c>
      <c r="B1385" t="str">
        <f t="shared" si="73"/>
        <v>T-Verbinder mit Deckenauflage, Einspeisemöglichkeit</v>
      </c>
      <c r="C1385" t="str">
        <f t="shared" si="72"/>
        <v>35</v>
      </c>
      <c r="D1385" s="1">
        <v>60</v>
      </c>
    </row>
    <row r="1386" spans="1:4" x14ac:dyDescent="0.25">
      <c r="A1386" t="str">
        <f>"SCH-132142"</f>
        <v>SCH-132142</v>
      </c>
      <c r="B1386" t="str">
        <f t="shared" si="73"/>
        <v>T-Verbinder mit Deckenauflage, Einspeisemöglichkeit</v>
      </c>
      <c r="C1386" t="str">
        <f t="shared" si="72"/>
        <v>35</v>
      </c>
      <c r="D1386" s="1">
        <v>60</v>
      </c>
    </row>
    <row r="1387" spans="1:4" x14ac:dyDescent="0.25">
      <c r="A1387" t="str">
        <f>"SCH-132151N"</f>
        <v>SCH-132151N</v>
      </c>
      <c r="B1387" t="str">
        <f t="shared" si="73"/>
        <v>T-Verbinder mit Deckenauflage, Einspeisemöglichkeit</v>
      </c>
      <c r="C1387" t="str">
        <f t="shared" si="72"/>
        <v>35</v>
      </c>
      <c r="D1387" s="1">
        <v>60</v>
      </c>
    </row>
    <row r="1388" spans="1:4" x14ac:dyDescent="0.25">
      <c r="A1388" t="str">
        <f>"SCH-132152"</f>
        <v>SCH-132152</v>
      </c>
      <c r="B1388" t="str">
        <f t="shared" si="73"/>
        <v>T-Verbinder mit Deckenauflage, Einspeisemöglichkeit</v>
      </c>
      <c r="C1388" t="str">
        <f t="shared" si="72"/>
        <v>35</v>
      </c>
      <c r="D1388" s="1">
        <v>60</v>
      </c>
    </row>
    <row r="1389" spans="1:4" x14ac:dyDescent="0.25">
      <c r="A1389" t="str">
        <f>"SCH-132161N"</f>
        <v>SCH-132161N</v>
      </c>
      <c r="B1389" t="str">
        <f>"X-Verbinder für Einbauschiene verkehrsweiß, mit Deckenauflage u. Einspeisemögl."</f>
        <v>X-Verbinder für Einbauschiene verkehrsweiß, mit Deckenauflage u. Einspeisemögl.</v>
      </c>
      <c r="C1389" t="str">
        <f t="shared" si="72"/>
        <v>35</v>
      </c>
      <c r="D1389" s="1">
        <v>70</v>
      </c>
    </row>
    <row r="1390" spans="1:4" x14ac:dyDescent="0.25">
      <c r="A1390" t="str">
        <f>"SCH-132162"</f>
        <v>SCH-132162</v>
      </c>
      <c r="B1390" t="str">
        <f>"X-Verbinder für Einbauschiene schwarz, mit Deckenauflage u. Einspeisemögl."</f>
        <v>X-Verbinder für Einbauschiene schwarz, mit Deckenauflage u. Einspeisemögl.</v>
      </c>
      <c r="C1390" t="str">
        <f t="shared" si="72"/>
        <v>35</v>
      </c>
      <c r="D1390" s="1">
        <v>70</v>
      </c>
    </row>
    <row r="1391" spans="1:4" x14ac:dyDescent="0.25">
      <c r="A1391" t="str">
        <f>"SCH-1511N"</f>
        <v>SCH-1511N</v>
      </c>
      <c r="B1391" t="str">
        <f>"Gripper mit Stromschienenclip für max. Seil Ø1,5mm, verkehrsweiß"</f>
        <v>Gripper mit Stromschienenclip für max. Seil Ø1,5mm, verkehrsweiß</v>
      </c>
      <c r="C1391" t="str">
        <f>"32"</f>
        <v>32</v>
      </c>
      <c r="D1391" s="1">
        <v>6.75</v>
      </c>
    </row>
    <row r="1392" spans="1:4" x14ac:dyDescent="0.25">
      <c r="A1392" t="str">
        <f>"SCH-1512"</f>
        <v>SCH-1512</v>
      </c>
      <c r="B1392" t="str">
        <f>"Gripper mit Stromschienenclip für max. Seil Ø1,5mm, schwarz"</f>
        <v>Gripper mit Stromschienenclip für max. Seil Ø1,5mm, schwarz</v>
      </c>
      <c r="C1392" t="str">
        <f>"32"</f>
        <v>32</v>
      </c>
      <c r="D1392" s="1">
        <v>6.75</v>
      </c>
    </row>
    <row r="1393" spans="1:4" x14ac:dyDescent="0.25">
      <c r="A1393" t="str">
        <f>"SCH-1517"</f>
        <v>SCH-1517</v>
      </c>
      <c r="B1393" t="str">
        <f>"Gripper mit Stromschienenclip für max. Seil Ø1,5mm, silber"</f>
        <v>Gripper mit Stromschienenclip für max. Seil Ø1,5mm, silber</v>
      </c>
      <c r="C1393" t="str">
        <f>"32"</f>
        <v>32</v>
      </c>
      <c r="D1393" s="1">
        <v>6.75</v>
      </c>
    </row>
    <row r="1394" spans="1:4" x14ac:dyDescent="0.25">
      <c r="A1394" t="str">
        <f>"SCH-152031N"</f>
        <v>SCH-152031N</v>
      </c>
      <c r="B1394" t="str">
        <f>"Mitteleinspeiser für 3-Phasen-Schiene, verkehrsweiß"</f>
        <v>Mitteleinspeiser für 3-Phasen-Schiene, verkehrsweiß</v>
      </c>
      <c r="C1394" t="str">
        <f t="shared" ref="C1394:C1399" si="74">"27"</f>
        <v>27</v>
      </c>
      <c r="D1394" s="1">
        <v>26.75</v>
      </c>
    </row>
    <row r="1395" spans="1:4" x14ac:dyDescent="0.25">
      <c r="A1395" t="str">
        <f>"SCH-152032"</f>
        <v>SCH-152032</v>
      </c>
      <c r="B1395" t="str">
        <f>"Mitteleinspeiser für 3-Phasen-Schiene, schwarz"</f>
        <v>Mitteleinspeiser für 3-Phasen-Schiene, schwarz</v>
      </c>
      <c r="C1395" t="str">
        <f t="shared" si="74"/>
        <v>27</v>
      </c>
      <c r="D1395" s="1">
        <v>26.75</v>
      </c>
    </row>
    <row r="1396" spans="1:4" x14ac:dyDescent="0.25">
      <c r="A1396" t="str">
        <f>"SCH-152037"</f>
        <v>SCH-152037</v>
      </c>
      <c r="B1396" t="str">
        <f>"Mitteleinspeiser für 3-Phasen-Schiene, silber"</f>
        <v>Mitteleinspeiser für 3-Phasen-Schiene, silber</v>
      </c>
      <c r="C1396" t="str">
        <f t="shared" si="74"/>
        <v>27</v>
      </c>
      <c r="D1396" s="1">
        <v>33.25</v>
      </c>
    </row>
    <row r="1397" spans="1:4" x14ac:dyDescent="0.25">
      <c r="A1397" t="str">
        <f>"SCH-201N"</f>
        <v>SCH-201N</v>
      </c>
      <c r="B1397" t="str">
        <f>"3-Phasen-Aufbau-Schiene, 2m, verkehrsweiß"</f>
        <v>3-Phasen-Aufbau-Schiene, 2m, verkehrsweiß</v>
      </c>
      <c r="C1397" t="str">
        <f t="shared" si="74"/>
        <v>27</v>
      </c>
      <c r="D1397" s="1">
        <v>50</v>
      </c>
    </row>
    <row r="1398" spans="1:4" x14ac:dyDescent="0.25">
      <c r="A1398" t="str">
        <f>"SCH-202"</f>
        <v>SCH-202</v>
      </c>
      <c r="B1398" t="str">
        <f>"3-Phasen-Aufbau-Schiene, 2m, schwarz"</f>
        <v>3-Phasen-Aufbau-Schiene, 2m, schwarz</v>
      </c>
      <c r="C1398" t="str">
        <f t="shared" si="74"/>
        <v>27</v>
      </c>
      <c r="D1398" s="1">
        <v>50</v>
      </c>
    </row>
    <row r="1399" spans="1:4" x14ac:dyDescent="0.25">
      <c r="A1399" t="str">
        <f>"SCH-207"</f>
        <v>SCH-207</v>
      </c>
      <c r="B1399" t="str">
        <f>"3-Phasen-Aufbau-Schiene, 2m, alu-silber-eloxiert"</f>
        <v>3-Phasen-Aufbau-Schiene, 2m, alu-silber-eloxiert</v>
      </c>
      <c r="C1399" t="str">
        <f t="shared" si="74"/>
        <v>27</v>
      </c>
      <c r="D1399" s="1">
        <v>50</v>
      </c>
    </row>
    <row r="1400" spans="1:4" x14ac:dyDescent="0.25">
      <c r="A1400" t="str">
        <f>"SCH-2841N"</f>
        <v>SCH-2841N</v>
      </c>
      <c r="B1400" t="str">
        <f>"Kappe für Universal-Haken 99-067-1, verkehrsweiss "</f>
        <v xml:space="preserve">Kappe für Universal-Haken 99-067-1, verkehrsweiss </v>
      </c>
      <c r="C1400" t="str">
        <f>"33"</f>
        <v>33</v>
      </c>
      <c r="D1400" s="1">
        <v>3</v>
      </c>
    </row>
    <row r="1401" spans="1:4" x14ac:dyDescent="0.25">
      <c r="A1401" t="str">
        <f>"SCH-2842"</f>
        <v>SCH-2842</v>
      </c>
      <c r="B1401" t="str">
        <f>"Kappe für Universal-Haken 99-067-2, schwarz "</f>
        <v xml:space="preserve">Kappe für Universal-Haken 99-067-2, schwarz </v>
      </c>
      <c r="C1401" t="str">
        <f>"33"</f>
        <v>33</v>
      </c>
      <c r="D1401" s="1">
        <v>3</v>
      </c>
    </row>
    <row r="1402" spans="1:4" x14ac:dyDescent="0.25">
      <c r="A1402" t="str">
        <f>"SCH-2847"</f>
        <v>SCH-2847</v>
      </c>
      <c r="B1402" t="str">
        <f>"Kappe für Universal-Haken 99-067-x, alugrau "</f>
        <v xml:space="preserve">Kappe für Universal-Haken 99-067-x, alugrau </v>
      </c>
      <c r="C1402" t="str">
        <f>"33"</f>
        <v>33</v>
      </c>
      <c r="D1402" s="1">
        <v>4</v>
      </c>
    </row>
    <row r="1403" spans="1:4" x14ac:dyDescent="0.25">
      <c r="A1403" t="str">
        <f>"SCH-301N"</f>
        <v>SCH-301N</v>
      </c>
      <c r="B1403" t="str">
        <f>"3-Phasen-Aufbau-Schiene, 3m, verkehrsweiß"</f>
        <v>3-Phasen-Aufbau-Schiene, 3m, verkehrsweiß</v>
      </c>
      <c r="C1403" t="str">
        <f>"27"</f>
        <v>27</v>
      </c>
      <c r="D1403" s="1">
        <v>77.5</v>
      </c>
    </row>
    <row r="1404" spans="1:4" x14ac:dyDescent="0.25">
      <c r="A1404" t="str">
        <f>"SCH-302"</f>
        <v>SCH-302</v>
      </c>
      <c r="B1404" t="str">
        <f>"3-Phasen-Aufbau-Schiene, 3m, schwarz"</f>
        <v>3-Phasen-Aufbau-Schiene, 3m, schwarz</v>
      </c>
      <c r="C1404" t="str">
        <f>"27"</f>
        <v>27</v>
      </c>
      <c r="D1404" s="1">
        <v>77.5</v>
      </c>
    </row>
    <row r="1405" spans="1:4" x14ac:dyDescent="0.25">
      <c r="A1405" t="str">
        <f>"SCH-307"</f>
        <v>SCH-307</v>
      </c>
      <c r="B1405" t="str">
        <f>"3-Phasen-Aufbau-Schiene, 3m, alu-silber-eloxiert"</f>
        <v>3-Phasen-Aufbau-Schiene, 3m, alu-silber-eloxiert</v>
      </c>
      <c r="C1405" t="str">
        <f>"27"</f>
        <v>27</v>
      </c>
      <c r="D1405" s="1">
        <v>77.5</v>
      </c>
    </row>
    <row r="1406" spans="1:4" x14ac:dyDescent="0.25">
      <c r="A1406" t="str">
        <f>"SCH-3187"</f>
        <v>SCH-3187</v>
      </c>
      <c r="B1406" t="str">
        <f>"Seilaufhängung, für Befestigungsklammer M13 í(Sch-075x L"</f>
        <v>Seilaufhängung, für Befestigungsklammer M13 í(Sch-075x L</v>
      </c>
      <c r="C1406" t="str">
        <f>"32"</f>
        <v>32</v>
      </c>
      <c r="D1406" s="1">
        <v>8.75</v>
      </c>
    </row>
    <row r="1407" spans="1:4" x14ac:dyDescent="0.25">
      <c r="A1407" t="str">
        <f>"SCH-3197"</f>
        <v>SCH-3197</v>
      </c>
      <c r="B1407" t="str">
        <f>"Seilaufhängung, für SCH-075x, Länge 3000 mm, höhenverstellbar"</f>
        <v>Seilaufhängung, für SCH-075x, Länge 3000 mm, höhenverstellbar</v>
      </c>
      <c r="C1407" t="str">
        <f>"32"</f>
        <v>32</v>
      </c>
      <c r="D1407" s="1">
        <v>8.75</v>
      </c>
    </row>
    <row r="1408" spans="1:4" x14ac:dyDescent="0.25">
      <c r="A1408" t="str">
        <f>"SCH-401N"</f>
        <v>SCH-401N</v>
      </c>
      <c r="B1408" t="str">
        <f>"3-Phasen-Aufbau-Schiene, 4m, verkehrsweiß"</f>
        <v>3-Phasen-Aufbau-Schiene, 4m, verkehrsweiß</v>
      </c>
      <c r="C1408" t="str">
        <f>"27"</f>
        <v>27</v>
      </c>
      <c r="D1408" s="1">
        <v>102.5</v>
      </c>
    </row>
    <row r="1409" spans="1:4" x14ac:dyDescent="0.25">
      <c r="A1409" t="str">
        <f>"SCH-402"</f>
        <v>SCH-402</v>
      </c>
      <c r="B1409" t="str">
        <f>"3-Phasen-Aufbau-Schiene, 4m, schwarz "</f>
        <v xml:space="preserve">3-Phasen-Aufbau-Schiene, 4m, schwarz </v>
      </c>
      <c r="C1409" t="str">
        <f>"27"</f>
        <v>27</v>
      </c>
      <c r="D1409" s="1">
        <v>102.5</v>
      </c>
    </row>
    <row r="1410" spans="1:4" x14ac:dyDescent="0.25">
      <c r="A1410" t="str">
        <f>"SCH-407"</f>
        <v>SCH-407</v>
      </c>
      <c r="B1410" t="str">
        <f>"3-Phasen-Aufbau-Schiene, 4mm, alu-silber-eloxiert"</f>
        <v>3-Phasen-Aufbau-Schiene, 4mm, alu-silber-eloxiert</v>
      </c>
      <c r="C1410" t="str">
        <f>"27"</f>
        <v>27</v>
      </c>
      <c r="D1410" s="1">
        <v>102.5</v>
      </c>
    </row>
    <row r="1411" spans="1:4" x14ac:dyDescent="0.25">
      <c r="A1411" t="str">
        <f>"SCH-6207"</f>
        <v>SCH-6207</v>
      </c>
      <c r="B1411" t="str">
        <f>"Seilaufhängung, für SCH-075x, max. 6200mm"</f>
        <v>Seilaufhängung, für SCH-075x, max. 6200mm</v>
      </c>
      <c r="C1411" t="str">
        <f>"32"</f>
        <v>32</v>
      </c>
      <c r="D1411" s="1">
        <v>14.5</v>
      </c>
    </row>
    <row r="1412" spans="1:4" x14ac:dyDescent="0.25">
      <c r="A1412" t="str">
        <f>"SCH-621N"</f>
        <v>SCH-621N</v>
      </c>
      <c r="B1412" t="str">
        <f>"3-Phasen-Stromschiene für Einbau 2m, verkehrsweiß "</f>
        <v xml:space="preserve">3-Phasen-Stromschiene für Einbau 2m, verkehrsweiß </v>
      </c>
      <c r="C1412" t="str">
        <f>"35"</f>
        <v>35</v>
      </c>
      <c r="D1412" s="1">
        <v>112.5</v>
      </c>
    </row>
    <row r="1413" spans="1:4" x14ac:dyDescent="0.25">
      <c r="A1413" t="str">
        <f>"SCH-622"</f>
        <v>SCH-622</v>
      </c>
      <c r="B1413" t="str">
        <f>"3-Phasen-Stromschiene für Einbau 2m, schwarz "</f>
        <v xml:space="preserve">3-Phasen-Stromschiene für Einbau 2m, schwarz </v>
      </c>
      <c r="C1413" t="str">
        <f>"35"</f>
        <v>35</v>
      </c>
      <c r="D1413" s="1">
        <v>112.5</v>
      </c>
    </row>
    <row r="1414" spans="1:4" x14ac:dyDescent="0.25">
      <c r="A1414" t="str">
        <f>"SCH-631N"</f>
        <v>SCH-631N</v>
      </c>
      <c r="B1414" t="str">
        <f>"3-Phasen-Stromschiene für Einbau 3m, verkehrsweiß "</f>
        <v xml:space="preserve">3-Phasen-Stromschiene für Einbau 3m, verkehrsweiß </v>
      </c>
      <c r="C1414" t="str">
        <f>"35"</f>
        <v>35</v>
      </c>
      <c r="D1414" s="1">
        <v>160</v>
      </c>
    </row>
    <row r="1415" spans="1:4" x14ac:dyDescent="0.25">
      <c r="A1415" t="str">
        <f>"SCH-632"</f>
        <v>SCH-632</v>
      </c>
      <c r="B1415" t="str">
        <f>"3-Phasen-Stromschiene für Einbau 3m, schwarz "</f>
        <v xml:space="preserve">3-Phasen-Stromschiene für Einbau 3m, schwarz </v>
      </c>
      <c r="C1415" t="str">
        <f>"35"</f>
        <v>35</v>
      </c>
      <c r="D1415" s="1">
        <v>160</v>
      </c>
    </row>
    <row r="1416" spans="1:4" x14ac:dyDescent="0.25">
      <c r="A1416" t="str">
        <f>"SCH-641N"</f>
        <v>SCH-641N</v>
      </c>
      <c r="B1416" t="str">
        <f>"3-Phasen-Stromschiene für Einbau 4m, verkehrsweiß "</f>
        <v xml:space="preserve">3-Phasen-Stromschiene für Einbau 4m, verkehrsweiß </v>
      </c>
      <c r="C1416" t="str">
        <f>"35"</f>
        <v>35</v>
      </c>
      <c r="D1416" s="1">
        <v>212.5</v>
      </c>
    </row>
    <row r="1417" spans="1:4" x14ac:dyDescent="0.25">
      <c r="A1417" t="str">
        <f>"SCH-6410"</f>
        <v>SCH-6410</v>
      </c>
      <c r="B1417" t="str">
        <f>"Seilaufhängung, höhenverstellbar, L=1,5 m, vernickelt"</f>
        <v>Seilaufhängung, höhenverstellbar, L=1,5 m, vernickelt</v>
      </c>
      <c r="C1417" t="str">
        <f>"32"</f>
        <v>32</v>
      </c>
      <c r="D1417" s="1">
        <v>10.75</v>
      </c>
    </row>
    <row r="1418" spans="1:4" x14ac:dyDescent="0.25">
      <c r="A1418" t="str">
        <f>"SCH-642"</f>
        <v>SCH-642</v>
      </c>
      <c r="B1418" t="str">
        <f>"3-Phasen-Stromschiene für Einbau 4m, schwarz "</f>
        <v xml:space="preserve">3-Phasen-Stromschiene für Einbau 4m, schwarz </v>
      </c>
      <c r="C1418" t="str">
        <f>"35"</f>
        <v>35</v>
      </c>
      <c r="D1418" s="1">
        <v>212.5</v>
      </c>
    </row>
    <row r="1419" spans="1:4" x14ac:dyDescent="0.25">
      <c r="A1419" t="str">
        <f>"SCH-6430"</f>
        <v>SCH-6430</v>
      </c>
      <c r="B1419" t="str">
        <f>"Seilaufhängung, höhenverstellbar, L=3,0 m, vernickelt"</f>
        <v>Seilaufhängung, höhenverstellbar, L=3,0 m, vernickelt</v>
      </c>
      <c r="C1419" t="str">
        <f>"32"</f>
        <v>32</v>
      </c>
      <c r="D1419" s="1">
        <v>16.75</v>
      </c>
    </row>
    <row r="1420" spans="1:4" x14ac:dyDescent="0.25">
      <c r="A1420" t="str">
        <f>"SCH-6720"</f>
        <v>SCH-6720</v>
      </c>
      <c r="B1420" t="str">
        <f>"Stoßestellenhalteclip, 100mm für Haken / Schlaufen"</f>
        <v>Stoßestellenhalteclip, 100mm für Haken / Schlaufen</v>
      </c>
      <c r="C1420" t="str">
        <f>"33"</f>
        <v>33</v>
      </c>
      <c r="D1420" s="1">
        <v>7.25</v>
      </c>
    </row>
    <row r="1421" spans="1:4" x14ac:dyDescent="0.25">
      <c r="A1421" t="str">
        <f>"SCH-6790"</f>
        <v>SCH-6790</v>
      </c>
      <c r="B1421" t="str">
        <f>"Seilaufhängung mit Schnellabhänger für Halteclip "</f>
        <v xml:space="preserve">Seilaufhängung mit Schnellabhänger für Halteclip </v>
      </c>
      <c r="C1421" t="str">
        <f>"32"</f>
        <v>32</v>
      </c>
      <c r="D1421" s="1">
        <v>15</v>
      </c>
    </row>
    <row r="1422" spans="1:4" x14ac:dyDescent="0.25">
      <c r="A1422" t="str">
        <f>"SCH-6970"</f>
        <v>SCH-6970</v>
      </c>
      <c r="B1422" t="str">
        <f>"Halteclip, 50mm für Haken / Schlaufen, M13"</f>
        <v>Halteclip, 50mm für Haken / Schlaufen, M13</v>
      </c>
      <c r="C1422" t="str">
        <f>"33"</f>
        <v>33</v>
      </c>
      <c r="D1422" s="1">
        <v>3.75</v>
      </c>
    </row>
    <row r="1423" spans="1:4" x14ac:dyDescent="0.25">
      <c r="A1423" t="str">
        <f>"SCH-6980"</f>
        <v>SCH-6980</v>
      </c>
      <c r="B1423" t="str">
        <f>"Pendelclip, 50mm für Abhängungen durch Seil - od. Pendelaufh"</f>
        <v>Pendelclip, 50mm für Abhängungen durch Seil - od. Pendelaufh</v>
      </c>
      <c r="C1423" t="str">
        <f>"33"</f>
        <v>33</v>
      </c>
      <c r="D1423" s="1">
        <v>3.5</v>
      </c>
    </row>
    <row r="1424" spans="1:4" x14ac:dyDescent="0.25">
      <c r="A1424" t="str">
        <f>"SCH-6990"</f>
        <v>SCH-6990</v>
      </c>
      <c r="B1424" t="str">
        <f>"Stoßstellenverbinder, 100mm f. Abhängung durch Seil-od.Pend"</f>
        <v>Stoßstellenverbinder, 100mm f. Abhängung durch Seil-od.Pend</v>
      </c>
      <c r="C1424" t="str">
        <f>"33"</f>
        <v>33</v>
      </c>
      <c r="D1424" s="1">
        <v>6.25</v>
      </c>
    </row>
    <row r="1425" spans="1:4" x14ac:dyDescent="0.25">
      <c r="A1425" t="str">
        <f>"SCH-9051N"</f>
        <v>SCH-9051N</v>
      </c>
      <c r="B1425" t="str">
        <f>"Pendelaufhängung, 600mm mit Baldachin, verkehrsweiß "</f>
        <v xml:space="preserve">Pendelaufhängung, 600mm mit Baldachin, verkehrsweiß </v>
      </c>
      <c r="C1425" t="str">
        <f t="shared" ref="C1425:C1430" si="75">"32"</f>
        <v>32</v>
      </c>
      <c r="D1425" s="1">
        <v>20.5</v>
      </c>
    </row>
    <row r="1426" spans="1:4" x14ac:dyDescent="0.25">
      <c r="A1426" t="str">
        <f>"SCH-9052"</f>
        <v>SCH-9052</v>
      </c>
      <c r="B1426" t="str">
        <f>"Pendelaufhängung, 600mm mit Baldachin, schwarz "</f>
        <v xml:space="preserve">Pendelaufhängung, 600mm mit Baldachin, schwarz </v>
      </c>
      <c r="C1426" t="str">
        <f t="shared" si="75"/>
        <v>32</v>
      </c>
      <c r="D1426" s="1">
        <v>20.5</v>
      </c>
    </row>
    <row r="1427" spans="1:4" x14ac:dyDescent="0.25">
      <c r="A1427" t="str">
        <f>"SCH-9057"</f>
        <v>SCH-9057</v>
      </c>
      <c r="B1427" t="str">
        <f>"Pendelaufhängung, 600mm mit Baldachin, silber"</f>
        <v>Pendelaufhängung, 600mm mit Baldachin, silber</v>
      </c>
      <c r="C1427" t="str">
        <f t="shared" si="75"/>
        <v>32</v>
      </c>
      <c r="D1427" s="1">
        <v>33.25</v>
      </c>
    </row>
    <row r="1428" spans="1:4" x14ac:dyDescent="0.25">
      <c r="A1428" t="str">
        <f>"SCH-9061N"</f>
        <v>SCH-9061N</v>
      </c>
      <c r="B1428" t="str">
        <f>"Pendelaufhängung, 1.200mm mit Baldachin, verkehrsweiß "</f>
        <v xml:space="preserve">Pendelaufhängung, 1.200mm mit Baldachin, verkehrsweiß </v>
      </c>
      <c r="C1428" t="str">
        <f t="shared" si="75"/>
        <v>32</v>
      </c>
      <c r="D1428" s="1">
        <v>25.75</v>
      </c>
    </row>
    <row r="1429" spans="1:4" x14ac:dyDescent="0.25">
      <c r="A1429" t="str">
        <f>"SCH-9062"</f>
        <v>SCH-9062</v>
      </c>
      <c r="B1429" t="str">
        <f>"Pendelaufhängung, 1.200mm mit Baldachin, schwarz "</f>
        <v xml:space="preserve">Pendelaufhängung, 1.200mm mit Baldachin, schwarz </v>
      </c>
      <c r="C1429" t="str">
        <f t="shared" si="75"/>
        <v>32</v>
      </c>
      <c r="D1429" s="1">
        <v>25.75</v>
      </c>
    </row>
    <row r="1430" spans="1:4" x14ac:dyDescent="0.25">
      <c r="A1430" t="str">
        <f>"SCH-9067"</f>
        <v>SCH-9067</v>
      </c>
      <c r="B1430" t="str">
        <f>"Pendelaufhängung, 1.200mm mit Baldachin, silber"</f>
        <v>Pendelaufhängung, 1.200mm mit Baldachin, silber</v>
      </c>
      <c r="C1430" t="str">
        <f t="shared" si="75"/>
        <v>32</v>
      </c>
      <c r="D1430" s="1">
        <v>40</v>
      </c>
    </row>
    <row r="1431" spans="1:4" x14ac:dyDescent="0.25">
      <c r="A1431" t="str">
        <f>"S-CLOCK"</f>
        <v>S-CLOCK</v>
      </c>
      <c r="B1431" t="str">
        <f>"4691 Gartenspieß für CLOCK, H= 418 mm, Polycarbonat"</f>
        <v>4691 Gartenspieß für CLOCK, H= 418 mm, Polycarbonat</v>
      </c>
      <c r="C1431" t="str">
        <f>"217"</f>
        <v>217</v>
      </c>
      <c r="D1431" s="1">
        <v>24.5</v>
      </c>
    </row>
    <row r="1432" spans="1:4" x14ac:dyDescent="0.25">
      <c r="A1432" t="str">
        <f>"SDR-100WW2D"</f>
        <v>SDR-100WW2D</v>
      </c>
      <c r="B1432" t="str">
        <f>"SDR, Ringförmige Decken-/Pendelleuchte, LED 95W, 3000K, schwarz-matt"</f>
        <v>SDR, Ringförmige Decken-/Pendelleuchte, LED 95W, 3000K, schwarz-matt</v>
      </c>
      <c r="C1432" t="str">
        <f>"131"</f>
        <v>131</v>
      </c>
      <c r="D1432" s="1">
        <v>980</v>
      </c>
    </row>
    <row r="1433" spans="1:4" x14ac:dyDescent="0.25">
      <c r="A1433" t="str">
        <f>"SDR-72WW2D"</f>
        <v>SDR-72WW2D</v>
      </c>
      <c r="B1433" t="str">
        <f>"SDR, Ringförmige Decken-/Pendelleuchte, LED 60W, 3000K,schwarz-matt"</f>
        <v>SDR, Ringförmige Decken-/Pendelleuchte, LED 60W, 3000K,schwarz-matt</v>
      </c>
      <c r="C1433" t="str">
        <f>"131"</f>
        <v>131</v>
      </c>
      <c r="D1433" s="1">
        <v>600</v>
      </c>
    </row>
    <row r="1434" spans="1:4" x14ac:dyDescent="0.25">
      <c r="A1434" t="str">
        <f>"SERVPOINT1"</f>
        <v>SERVPOINT1</v>
      </c>
      <c r="B1434" t="str">
        <f>"5301GR Server Point Standard mit 2 Steckdosen"</f>
        <v>5301GR Server Point Standard mit 2 Steckdosen</v>
      </c>
      <c r="C1434" t="str">
        <f>"223"</f>
        <v>223</v>
      </c>
      <c r="D1434" s="1">
        <v>505</v>
      </c>
    </row>
    <row r="1435" spans="1:4" x14ac:dyDescent="0.25">
      <c r="A1435" t="str">
        <f>"SERVPOINT2"</f>
        <v>SERVPOINT2</v>
      </c>
      <c r="B1435" t="str">
        <f>"Server Point mit Sensor, Steckdose und 3,2W LED-Orientierungslicht, 4000K"</f>
        <v>Server Point mit Sensor, Steckdose und 3,2W LED-Orientierungslicht, 4000K</v>
      </c>
      <c r="C1435" t="str">
        <f>"223"</f>
        <v>223</v>
      </c>
      <c r="D1435" s="1">
        <v>755</v>
      </c>
    </row>
    <row r="1436" spans="1:4" x14ac:dyDescent="0.25">
      <c r="A1436" t="str">
        <f>"SERVPOINT2WW"</f>
        <v>SERVPOINT2WW</v>
      </c>
      <c r="B1436" t="str">
        <f>"Server Point mit Sensor, Steckdose und 3,2W LED-Orientierungslicht, 3000K"</f>
        <v>Server Point mit Sensor, Steckdose und 3,2W LED-Orientierungslicht, 3000K</v>
      </c>
      <c r="C1436" t="str">
        <f>"223"</f>
        <v>223</v>
      </c>
      <c r="D1436" s="1">
        <v>755</v>
      </c>
    </row>
    <row r="1437" spans="1:4" x14ac:dyDescent="0.25">
      <c r="A1437" t="str">
        <f>"SERVPOINT3"</f>
        <v>SERVPOINT3</v>
      </c>
      <c r="B1437" t="str">
        <f>"Server Point mit 2 Steckdosen und 3,2W LED-Orientierungslicht, 4000K"</f>
        <v>Server Point mit 2 Steckdosen und 3,2W LED-Orientierungslicht, 4000K</v>
      </c>
      <c r="C1437" t="str">
        <f>"223"</f>
        <v>223</v>
      </c>
      <c r="D1437" s="1">
        <v>642.54999999999995</v>
      </c>
    </row>
    <row r="1438" spans="1:4" x14ac:dyDescent="0.25">
      <c r="A1438" t="str">
        <f>"SERVPOINT3WW"</f>
        <v>SERVPOINT3WW</v>
      </c>
      <c r="B1438" t="str">
        <f>"Server Point mit 2 Steckdosen und 3,2W LED-Orientierungslicht, 3000K"</f>
        <v>Server Point mit 2 Steckdosen und 3,2W LED-Orientierungslicht, 3000K</v>
      </c>
      <c r="C1438" t="str">
        <f>"223"</f>
        <v>223</v>
      </c>
      <c r="D1438" s="1">
        <v>642.54999999999995</v>
      </c>
    </row>
    <row r="1439" spans="1:4" x14ac:dyDescent="0.25">
      <c r="A1439" t="str">
        <f>"S-K3POWER"</f>
        <v>S-K3POWER</v>
      </c>
      <c r="B1439" t="str">
        <f>"1192 Erdspieß für K3 POWER, H=530 mm, inkl. Befestigungsplatte"</f>
        <v>1192 Erdspieß für K3 POWER, H=530 mm, inkl. Befestigungsplatte</v>
      </c>
      <c r="C1439" t="str">
        <f>"193"</f>
        <v>193</v>
      </c>
      <c r="D1439" s="1">
        <v>108</v>
      </c>
    </row>
    <row r="1440" spans="1:4" x14ac:dyDescent="0.25">
      <c r="A1440" t="str">
        <f>"SLC-18NW11"</f>
        <v>SLC-18NW11</v>
      </c>
      <c r="B1440" t="str">
        <f>"SLC, Schienenstrahler, CoB LED, 18W, 24°, 4000K, Gehäuse weiss"</f>
        <v>SLC, Schienenstrahler, CoB LED, 18W, 24°, 4000K, Gehäuse weiss</v>
      </c>
      <c r="C1440" t="str">
        <f t="shared" ref="C1440:C1487" si="76">"11"</f>
        <v>11</v>
      </c>
      <c r="D1440" s="1">
        <v>135</v>
      </c>
    </row>
    <row r="1441" spans="1:4" x14ac:dyDescent="0.25">
      <c r="A1441" t="str">
        <f>"SLC-18NW11F"</f>
        <v>SLC-18NW11F</v>
      </c>
      <c r="B1441" t="str">
        <f>"SLC, Schienenstrahler, CoB LED, 18W, 36°, 4000K, Gehäuse weiss"</f>
        <v>SLC, Schienenstrahler, CoB LED, 18W, 36°, 4000K, Gehäuse weiss</v>
      </c>
      <c r="C1441" t="str">
        <f t="shared" si="76"/>
        <v>11</v>
      </c>
      <c r="D1441" s="1">
        <v>135</v>
      </c>
    </row>
    <row r="1442" spans="1:4" x14ac:dyDescent="0.25">
      <c r="A1442" t="str">
        <f>"SLC-18NW11S"</f>
        <v>SLC-18NW11S</v>
      </c>
      <c r="B1442" t="str">
        <f>"SLC, Schienenstrahler, CoB LED, 18W, 15°, 4000K, Gehäuse weiss"</f>
        <v>SLC, Schienenstrahler, CoB LED, 18W, 15°, 4000K, Gehäuse weiss</v>
      </c>
      <c r="C1442" t="str">
        <f t="shared" si="76"/>
        <v>11</v>
      </c>
      <c r="D1442" s="1">
        <v>133</v>
      </c>
    </row>
    <row r="1443" spans="1:4" x14ac:dyDescent="0.25">
      <c r="A1443" t="str">
        <f>"SLC-18NW12"</f>
        <v>SLC-18NW12</v>
      </c>
      <c r="B1443" t="str">
        <f>"SLC, Schienenstrahler, CoB LED, 18W, 24°, 4000K, Gehäuse schwarz"</f>
        <v>SLC, Schienenstrahler, CoB LED, 18W, 24°, 4000K, Gehäuse schwarz</v>
      </c>
      <c r="C1443" t="str">
        <f t="shared" si="76"/>
        <v>11</v>
      </c>
      <c r="D1443" s="1">
        <v>135</v>
      </c>
    </row>
    <row r="1444" spans="1:4" x14ac:dyDescent="0.25">
      <c r="A1444" t="str">
        <f>"SLC-18NW12F"</f>
        <v>SLC-18NW12F</v>
      </c>
      <c r="B1444" t="str">
        <f>"SLC, Schienenstrahler, CoB LED, 18W, 36°, 4000K, Gehäuse schwarz"</f>
        <v>SLC, Schienenstrahler, CoB LED, 18W, 36°, 4000K, Gehäuse schwarz</v>
      </c>
      <c r="C1444" t="str">
        <f t="shared" si="76"/>
        <v>11</v>
      </c>
      <c r="D1444" s="1">
        <v>135</v>
      </c>
    </row>
    <row r="1445" spans="1:4" x14ac:dyDescent="0.25">
      <c r="A1445" t="str">
        <f>"SLC-18NW12S"</f>
        <v>SLC-18NW12S</v>
      </c>
      <c r="B1445" t="str">
        <f>"SLC, Schienenstrahler, CoB LED, 18W, 15°, 4000K, Gehäuse schwarz"</f>
        <v>SLC, Schienenstrahler, CoB LED, 18W, 15°, 4000K, Gehäuse schwarz</v>
      </c>
      <c r="C1445" t="str">
        <f t="shared" si="76"/>
        <v>11</v>
      </c>
      <c r="D1445" s="1">
        <v>135</v>
      </c>
    </row>
    <row r="1446" spans="1:4" x14ac:dyDescent="0.25">
      <c r="A1446" t="str">
        <f>"SLC-18SW11"</f>
        <v>SLC-18SW11</v>
      </c>
      <c r="B1446" t="str">
        <f>"SLC, Schienenstrahler, CoB LED, 18W, 24°, 2700K, Gehäuse weiss"</f>
        <v>SLC, Schienenstrahler, CoB LED, 18W, 24°, 2700K, Gehäuse weiss</v>
      </c>
      <c r="C1446" t="str">
        <f t="shared" si="76"/>
        <v>11</v>
      </c>
      <c r="D1446" s="1">
        <v>135</v>
      </c>
    </row>
    <row r="1447" spans="1:4" x14ac:dyDescent="0.25">
      <c r="A1447" t="str">
        <f>"SLC-18SW11F"</f>
        <v>SLC-18SW11F</v>
      </c>
      <c r="B1447" t="str">
        <f>"SLC, Schienenstrahler, CoB LED, 18W, 36°, 2700K, Gehäuse weiss"</f>
        <v>SLC, Schienenstrahler, CoB LED, 18W, 36°, 2700K, Gehäuse weiss</v>
      </c>
      <c r="C1447" t="str">
        <f t="shared" si="76"/>
        <v>11</v>
      </c>
      <c r="D1447" s="1">
        <v>135</v>
      </c>
    </row>
    <row r="1448" spans="1:4" x14ac:dyDescent="0.25">
      <c r="A1448" t="str">
        <f>"SLC-18SW11S"</f>
        <v>SLC-18SW11S</v>
      </c>
      <c r="B1448" t="str">
        <f>"SLC, Schienenstrahler, CoB LED, 18W, 15°, 2700K, Gehäuse weiss"</f>
        <v>SLC, Schienenstrahler, CoB LED, 18W, 15°, 2700K, Gehäuse weiss</v>
      </c>
      <c r="C1448" t="str">
        <f t="shared" si="76"/>
        <v>11</v>
      </c>
      <c r="D1448" s="1">
        <v>135</v>
      </c>
    </row>
    <row r="1449" spans="1:4" x14ac:dyDescent="0.25">
      <c r="A1449" t="str">
        <f>"SLC-18SW12"</f>
        <v>SLC-18SW12</v>
      </c>
      <c r="B1449" t="str">
        <f>"SLC, Schienenstrahler CoB LED, 18W, 24°, 2700K, Gehäuse schwarz"</f>
        <v>SLC, Schienenstrahler CoB LED, 18W, 24°, 2700K, Gehäuse schwarz</v>
      </c>
      <c r="C1449" t="str">
        <f t="shared" si="76"/>
        <v>11</v>
      </c>
      <c r="D1449" s="1">
        <v>135</v>
      </c>
    </row>
    <row r="1450" spans="1:4" x14ac:dyDescent="0.25">
      <c r="A1450" t="str">
        <f>"SLC-18SW12F"</f>
        <v>SLC-18SW12F</v>
      </c>
      <c r="B1450" t="str">
        <f>"SLC, Schienenstrahler, CoB LED, 18W, 36°, 2700K, Gehäuse schwarz"</f>
        <v>SLC, Schienenstrahler, CoB LED, 18W, 36°, 2700K, Gehäuse schwarz</v>
      </c>
      <c r="C1450" t="str">
        <f t="shared" si="76"/>
        <v>11</v>
      </c>
      <c r="D1450" s="1">
        <v>135</v>
      </c>
    </row>
    <row r="1451" spans="1:4" x14ac:dyDescent="0.25">
      <c r="A1451" t="str">
        <f>"SLC-18SW12S"</f>
        <v>SLC-18SW12S</v>
      </c>
      <c r="B1451" t="str">
        <f>"SLC, Schienenstrahler, CoB LED, 18W, 15°, 2700K, Gehäuse schwarz"</f>
        <v>SLC, Schienenstrahler, CoB LED, 18W, 15°, 2700K, Gehäuse schwarz</v>
      </c>
      <c r="C1451" t="str">
        <f t="shared" si="76"/>
        <v>11</v>
      </c>
      <c r="D1451" s="1">
        <v>135</v>
      </c>
    </row>
    <row r="1452" spans="1:4" x14ac:dyDescent="0.25">
      <c r="A1452" t="str">
        <f>"SLC-18WNW11"</f>
        <v>SLC-18WNW11</v>
      </c>
      <c r="B1452" t="str">
        <f>"SLC, Schienenstrahler, CoB LED, 18W, 24°, 3500K, Gehäuse weiss"</f>
        <v>SLC, Schienenstrahler, CoB LED, 18W, 24°, 3500K, Gehäuse weiss</v>
      </c>
      <c r="C1452" t="str">
        <f t="shared" si="76"/>
        <v>11</v>
      </c>
      <c r="D1452" s="1">
        <v>135</v>
      </c>
    </row>
    <row r="1453" spans="1:4" x14ac:dyDescent="0.25">
      <c r="A1453" t="str">
        <f>"SLC-18WNW11F"</f>
        <v>SLC-18WNW11F</v>
      </c>
      <c r="B1453" t="str">
        <f>"SLC, Schienenstrahler, CoB LED, 18W, 36°, 3500K, Gehäuse weiss"</f>
        <v>SLC, Schienenstrahler, CoB LED, 18W, 36°, 3500K, Gehäuse weiss</v>
      </c>
      <c r="C1453" t="str">
        <f t="shared" si="76"/>
        <v>11</v>
      </c>
      <c r="D1453" s="1">
        <v>135</v>
      </c>
    </row>
    <row r="1454" spans="1:4" x14ac:dyDescent="0.25">
      <c r="A1454" t="str">
        <f>"SLC-18WNW11S"</f>
        <v>SLC-18WNW11S</v>
      </c>
      <c r="B1454" t="str">
        <f>"SLC, Schienenstrahler, CoB LED, 18W, 15°, 3500K, Gehäuse weiss"</f>
        <v>SLC, Schienenstrahler, CoB LED, 18W, 15°, 3500K, Gehäuse weiss</v>
      </c>
      <c r="C1454" t="str">
        <f t="shared" si="76"/>
        <v>11</v>
      </c>
      <c r="D1454" s="1">
        <v>135</v>
      </c>
    </row>
    <row r="1455" spans="1:4" x14ac:dyDescent="0.25">
      <c r="A1455" t="str">
        <f>"SLC-18WNW12"</f>
        <v>SLC-18WNW12</v>
      </c>
      <c r="B1455" t="str">
        <f>"SLC, Schienenstrahler, CoB LED, 18W, 24°, 3500K, Gehäuse schwarz"</f>
        <v>SLC, Schienenstrahler, CoB LED, 18W, 24°, 3500K, Gehäuse schwarz</v>
      </c>
      <c r="C1455" t="str">
        <f t="shared" si="76"/>
        <v>11</v>
      </c>
      <c r="D1455" s="1">
        <v>135</v>
      </c>
    </row>
    <row r="1456" spans="1:4" x14ac:dyDescent="0.25">
      <c r="A1456" t="str">
        <f>"SLC-18WNW12F"</f>
        <v>SLC-18WNW12F</v>
      </c>
      <c r="B1456" t="str">
        <f>"SLC, Schienenstrahler, CoB LED, 18W, 36°, 3500K, Gehäuse schwarz"</f>
        <v>SLC, Schienenstrahler, CoB LED, 18W, 36°, 3500K, Gehäuse schwarz</v>
      </c>
      <c r="C1456" t="str">
        <f t="shared" si="76"/>
        <v>11</v>
      </c>
      <c r="D1456" s="1">
        <v>135</v>
      </c>
    </row>
    <row r="1457" spans="1:4" x14ac:dyDescent="0.25">
      <c r="A1457" t="str">
        <f>"SLC-18WNW12S"</f>
        <v>SLC-18WNW12S</v>
      </c>
      <c r="B1457" t="str">
        <f>"SLC, Schienenstrahler, CoB LED, 18W, 15°, 3500K, Gehäuse schwarz"</f>
        <v>SLC, Schienenstrahler, CoB LED, 18W, 15°, 3500K, Gehäuse schwarz</v>
      </c>
      <c r="C1457" t="str">
        <f t="shared" si="76"/>
        <v>11</v>
      </c>
      <c r="D1457" s="1">
        <v>135</v>
      </c>
    </row>
    <row r="1458" spans="1:4" x14ac:dyDescent="0.25">
      <c r="A1458" t="str">
        <f>"SLC-18WW11"</f>
        <v>SLC-18WW11</v>
      </c>
      <c r="B1458" t="str">
        <f>"SLC, Schienenstrahler, CoB LED, 18W, 24°, 3000K, Gehäuse weiss"</f>
        <v>SLC, Schienenstrahler, CoB LED, 18W, 24°, 3000K, Gehäuse weiss</v>
      </c>
      <c r="C1458" t="str">
        <f t="shared" si="76"/>
        <v>11</v>
      </c>
      <c r="D1458" s="1">
        <v>135</v>
      </c>
    </row>
    <row r="1459" spans="1:4" x14ac:dyDescent="0.25">
      <c r="A1459" t="str">
        <f>"SLC-18WW11F"</f>
        <v>SLC-18WW11F</v>
      </c>
      <c r="B1459" t="str">
        <f>"SLC, Schienenstrahler, CoB LED, 18W, 36°, 3000K, Gehäuse weiss"</f>
        <v>SLC, Schienenstrahler, CoB LED, 18W, 36°, 3000K, Gehäuse weiss</v>
      </c>
      <c r="C1459" t="str">
        <f t="shared" si="76"/>
        <v>11</v>
      </c>
      <c r="D1459" s="1">
        <v>135</v>
      </c>
    </row>
    <row r="1460" spans="1:4" x14ac:dyDescent="0.25">
      <c r="A1460" t="str">
        <f>"SLC-18WW11S"</f>
        <v>SLC-18WW11S</v>
      </c>
      <c r="B1460" t="str">
        <f>"SLC, Schienenstrahler, CoB LED, 18W, 15°, 3000K, Gehäuse weiss"</f>
        <v>SLC, Schienenstrahler, CoB LED, 18W, 15°, 3000K, Gehäuse weiss</v>
      </c>
      <c r="C1460" t="str">
        <f t="shared" si="76"/>
        <v>11</v>
      </c>
      <c r="D1460" s="1">
        <v>135</v>
      </c>
    </row>
    <row r="1461" spans="1:4" x14ac:dyDescent="0.25">
      <c r="A1461" t="str">
        <f>"SLC-18WW12"</f>
        <v>SLC-18WW12</v>
      </c>
      <c r="B1461" t="str">
        <f>"SLC, Schienenstrahler, CoB LED, 18W, 24°, 3000K, Gehäuse schwarz"</f>
        <v>SLC, Schienenstrahler, CoB LED, 18W, 24°, 3000K, Gehäuse schwarz</v>
      </c>
      <c r="C1461" t="str">
        <f t="shared" si="76"/>
        <v>11</v>
      </c>
      <c r="D1461" s="1">
        <v>135</v>
      </c>
    </row>
    <row r="1462" spans="1:4" x14ac:dyDescent="0.25">
      <c r="A1462" t="str">
        <f>"SLC-18WW12F"</f>
        <v>SLC-18WW12F</v>
      </c>
      <c r="B1462" t="str">
        <f>"SLC, Schienenstrahler, CoB LED, 18W,36°, 3000K, Gehäuse schwarz"</f>
        <v>SLC, Schienenstrahler, CoB LED, 18W,36°, 3000K, Gehäuse schwarz</v>
      </c>
      <c r="C1462" t="str">
        <f t="shared" si="76"/>
        <v>11</v>
      </c>
      <c r="D1462" s="1">
        <v>135</v>
      </c>
    </row>
    <row r="1463" spans="1:4" x14ac:dyDescent="0.25">
      <c r="A1463" t="str">
        <f>"SLC-18WW12S"</f>
        <v>SLC-18WW12S</v>
      </c>
      <c r="B1463" t="str">
        <f>"SLC, Schienenstrahler, CoB LED, 18W,15°, 3000K, Gehäuse schwarz"</f>
        <v>SLC, Schienenstrahler, CoB LED, 18W,15°, 3000K, Gehäuse schwarz</v>
      </c>
      <c r="C1463" t="str">
        <f t="shared" si="76"/>
        <v>11</v>
      </c>
      <c r="D1463" s="1">
        <v>135</v>
      </c>
    </row>
    <row r="1464" spans="1:4" x14ac:dyDescent="0.25">
      <c r="A1464" t="str">
        <f>"SLC-30NW11"</f>
        <v>SLC-30NW11</v>
      </c>
      <c r="B1464" t="str">
        <f>"SLC, Schienenstrahler, CoB LED, 26W, 24°, 4000K, Gehäuse weiss"</f>
        <v>SLC, Schienenstrahler, CoB LED, 26W, 24°, 4000K, Gehäuse weiss</v>
      </c>
      <c r="C1464" t="str">
        <f t="shared" si="76"/>
        <v>11</v>
      </c>
      <c r="D1464" s="1">
        <v>152</v>
      </c>
    </row>
    <row r="1465" spans="1:4" x14ac:dyDescent="0.25">
      <c r="A1465" t="str">
        <f>"SLC-30NW11F"</f>
        <v>SLC-30NW11F</v>
      </c>
      <c r="B1465" t="str">
        <f>"SLC, Schienenstrahler, CoB LED, 26W, 36°, 4000K, Gehäuse weiss"</f>
        <v>SLC, Schienenstrahler, CoB LED, 26W, 36°, 4000K, Gehäuse weiss</v>
      </c>
      <c r="C1465" t="str">
        <f t="shared" si="76"/>
        <v>11</v>
      </c>
      <c r="D1465" s="1">
        <v>152</v>
      </c>
    </row>
    <row r="1466" spans="1:4" x14ac:dyDescent="0.25">
      <c r="A1466" t="str">
        <f>"SLC-30NW11S"</f>
        <v>SLC-30NW11S</v>
      </c>
      <c r="B1466" t="str">
        <f>"SLC, Schienenstrahler, CoB LED, 26W, 15°, 4000K, Gehäuse weiss"</f>
        <v>SLC, Schienenstrahler, CoB LED, 26W, 15°, 4000K, Gehäuse weiss</v>
      </c>
      <c r="C1466" t="str">
        <f t="shared" si="76"/>
        <v>11</v>
      </c>
      <c r="D1466" s="1">
        <v>152</v>
      </c>
    </row>
    <row r="1467" spans="1:4" x14ac:dyDescent="0.25">
      <c r="A1467" t="str">
        <f>"SLC-30NW12"</f>
        <v>SLC-30NW12</v>
      </c>
      <c r="B1467" t="str">
        <f>"SLC, Schienenstrahler, CoB LED, 26W, 24°, 4000K, Gehäuse schwarz"</f>
        <v>SLC, Schienenstrahler, CoB LED, 26W, 24°, 4000K, Gehäuse schwarz</v>
      </c>
      <c r="C1467" t="str">
        <f t="shared" si="76"/>
        <v>11</v>
      </c>
      <c r="D1467" s="1">
        <v>152</v>
      </c>
    </row>
    <row r="1468" spans="1:4" x14ac:dyDescent="0.25">
      <c r="A1468" t="str">
        <f>"SLC-30NW12F"</f>
        <v>SLC-30NW12F</v>
      </c>
      <c r="B1468" t="str">
        <f>"SLC, Schienenstrahler, CoB LED, 26W, 36°, 4000K, Gehäuse schwarz"</f>
        <v>SLC, Schienenstrahler, CoB LED, 26W, 36°, 4000K, Gehäuse schwarz</v>
      </c>
      <c r="C1468" t="str">
        <f t="shared" si="76"/>
        <v>11</v>
      </c>
      <c r="D1468" s="1">
        <v>152</v>
      </c>
    </row>
    <row r="1469" spans="1:4" x14ac:dyDescent="0.25">
      <c r="A1469" t="str">
        <f>"SLC-30NW12S"</f>
        <v>SLC-30NW12S</v>
      </c>
      <c r="B1469" t="str">
        <f>"SLC, Schienenstrahler, CoB LED, 26W, 15°, 4000K, Gehäuse schwarz"</f>
        <v>SLC, Schienenstrahler, CoB LED, 26W, 15°, 4000K, Gehäuse schwarz</v>
      </c>
      <c r="C1469" t="str">
        <f t="shared" si="76"/>
        <v>11</v>
      </c>
      <c r="D1469" s="1">
        <v>152</v>
      </c>
    </row>
    <row r="1470" spans="1:4" x14ac:dyDescent="0.25">
      <c r="A1470" t="str">
        <f>"SLC-30SW11"</f>
        <v>SLC-30SW11</v>
      </c>
      <c r="B1470" t="str">
        <f>"SLC, Schienenstrahler, CoB LED, 26W, 24°, 2700K, Gehäuse weiss"</f>
        <v>SLC, Schienenstrahler, CoB LED, 26W, 24°, 2700K, Gehäuse weiss</v>
      </c>
      <c r="C1470" t="str">
        <f t="shared" si="76"/>
        <v>11</v>
      </c>
      <c r="D1470" s="1">
        <v>152</v>
      </c>
    </row>
    <row r="1471" spans="1:4" x14ac:dyDescent="0.25">
      <c r="A1471" t="str">
        <f>"SLC-30SW11F"</f>
        <v>SLC-30SW11F</v>
      </c>
      <c r="B1471" t="str">
        <f>"SLC, Schienenstrahler, CoB LED, 26W, 36°, 2700K, Gehäuse weiss"</f>
        <v>SLC, Schienenstrahler, CoB LED, 26W, 36°, 2700K, Gehäuse weiss</v>
      </c>
      <c r="C1471" t="str">
        <f t="shared" si="76"/>
        <v>11</v>
      </c>
      <c r="D1471" s="1">
        <v>152</v>
      </c>
    </row>
    <row r="1472" spans="1:4" x14ac:dyDescent="0.25">
      <c r="A1472" t="str">
        <f>"SLC-30SW11S"</f>
        <v>SLC-30SW11S</v>
      </c>
      <c r="B1472" t="str">
        <f>"SLC, Schienenstrahler, CoB LED, 26W, 15°, 2700K, Gehäuse weiss"</f>
        <v>SLC, Schienenstrahler, CoB LED, 26W, 15°, 2700K, Gehäuse weiss</v>
      </c>
      <c r="C1472" t="str">
        <f t="shared" si="76"/>
        <v>11</v>
      </c>
      <c r="D1472" s="1">
        <v>152</v>
      </c>
    </row>
    <row r="1473" spans="1:4" x14ac:dyDescent="0.25">
      <c r="A1473" t="str">
        <f>"SLC-30SW12"</f>
        <v>SLC-30SW12</v>
      </c>
      <c r="B1473" t="str">
        <f>"SLC, Schienenstrahler, CoB LED, 26W, 24°, ´2700K, Gehäuse schwarz"</f>
        <v>SLC, Schienenstrahler, CoB LED, 26W, 24°, ´2700K, Gehäuse schwarz</v>
      </c>
      <c r="C1473" t="str">
        <f t="shared" si="76"/>
        <v>11</v>
      </c>
      <c r="D1473" s="1">
        <v>152</v>
      </c>
    </row>
    <row r="1474" spans="1:4" x14ac:dyDescent="0.25">
      <c r="A1474" t="str">
        <f>"SLC-30SW12F"</f>
        <v>SLC-30SW12F</v>
      </c>
      <c r="B1474" t="str">
        <f>"SLC, Schienenstrahler, CoB LED, 26W, 36°, ´2700K, Gehäuse schwarz"</f>
        <v>SLC, Schienenstrahler, CoB LED, 26W, 36°, ´2700K, Gehäuse schwarz</v>
      </c>
      <c r="C1474" t="str">
        <f t="shared" si="76"/>
        <v>11</v>
      </c>
      <c r="D1474" s="1">
        <v>152</v>
      </c>
    </row>
    <row r="1475" spans="1:4" x14ac:dyDescent="0.25">
      <c r="A1475" t="str">
        <f>"SLC-30SW12S"</f>
        <v>SLC-30SW12S</v>
      </c>
      <c r="B1475" t="str">
        <f>"SLC, Schienenstrahler, CoB LED, 26W, 15°, ´2700K, Gehäuse schwarz"</f>
        <v>SLC, Schienenstrahler, CoB LED, 26W, 15°, ´2700K, Gehäuse schwarz</v>
      </c>
      <c r="C1475" t="str">
        <f t="shared" si="76"/>
        <v>11</v>
      </c>
      <c r="D1475" s="1">
        <v>152</v>
      </c>
    </row>
    <row r="1476" spans="1:4" x14ac:dyDescent="0.25">
      <c r="A1476" t="str">
        <f>"SLC-30WNW11"</f>
        <v>SLC-30WNW11</v>
      </c>
      <c r="B1476" t="str">
        <f>"SLC, Schienenstrahler, CoB LED, 26W, 24°, 3500K, Gehäuse weiß"</f>
        <v>SLC, Schienenstrahler, CoB LED, 26W, 24°, 3500K, Gehäuse weiß</v>
      </c>
      <c r="C1476" t="str">
        <f t="shared" si="76"/>
        <v>11</v>
      </c>
      <c r="D1476" s="1">
        <v>152</v>
      </c>
    </row>
    <row r="1477" spans="1:4" x14ac:dyDescent="0.25">
      <c r="A1477" t="str">
        <f>"SLC-30WNW11F"</f>
        <v>SLC-30WNW11F</v>
      </c>
      <c r="B1477" t="str">
        <f>"SLC, Schienenstrahler, CoB LED, 26W, 36°, 3500K, Gehäuse weiß"</f>
        <v>SLC, Schienenstrahler, CoB LED, 26W, 36°, 3500K, Gehäuse weiß</v>
      </c>
      <c r="C1477" t="str">
        <f t="shared" si="76"/>
        <v>11</v>
      </c>
      <c r="D1477" s="1">
        <v>152</v>
      </c>
    </row>
    <row r="1478" spans="1:4" x14ac:dyDescent="0.25">
      <c r="A1478" t="str">
        <f>"SLC-30WNW11S"</f>
        <v>SLC-30WNW11S</v>
      </c>
      <c r="B1478" t="str">
        <f>"SLC, Schienenstrahler, CoB LED, 26W, 15°, 3500K, Gehäuse weiß"</f>
        <v>SLC, Schienenstrahler, CoB LED, 26W, 15°, 3500K, Gehäuse weiß</v>
      </c>
      <c r="C1478" t="str">
        <f t="shared" si="76"/>
        <v>11</v>
      </c>
      <c r="D1478" s="1">
        <v>152</v>
      </c>
    </row>
    <row r="1479" spans="1:4" x14ac:dyDescent="0.25">
      <c r="A1479" t="str">
        <f>"SLC-30WNW12"</f>
        <v>SLC-30WNW12</v>
      </c>
      <c r="B1479" t="str">
        <f>"SLC, Schienenstrahler, CoB LED, 26W, 24°, ´3500K, Gehäuse schwarz"</f>
        <v>SLC, Schienenstrahler, CoB LED, 26W, 24°, ´3500K, Gehäuse schwarz</v>
      </c>
      <c r="C1479" t="str">
        <f t="shared" si="76"/>
        <v>11</v>
      </c>
      <c r="D1479" s="1">
        <v>152</v>
      </c>
    </row>
    <row r="1480" spans="1:4" x14ac:dyDescent="0.25">
      <c r="A1480" t="str">
        <f>"SLC-30WNW12F"</f>
        <v>SLC-30WNW12F</v>
      </c>
      <c r="B1480" t="str">
        <f>"SLC, Schienenstrahler, CoB LED, 26W, 36°, ´3500K, Gehäuse schwarz"</f>
        <v>SLC, Schienenstrahler, CoB LED, 26W, 36°, ´3500K, Gehäuse schwarz</v>
      </c>
      <c r="C1480" t="str">
        <f t="shared" si="76"/>
        <v>11</v>
      </c>
      <c r="D1480" s="1">
        <v>152</v>
      </c>
    </row>
    <row r="1481" spans="1:4" x14ac:dyDescent="0.25">
      <c r="A1481" t="str">
        <f>"SLC-30WNW12S"</f>
        <v>SLC-30WNW12S</v>
      </c>
      <c r="B1481" t="str">
        <f>"SLC, Schienenstrahler, CoB LED, 26W, 15°, ´3500K, Gehäuse schwarz"</f>
        <v>SLC, Schienenstrahler, CoB LED, 26W, 15°, ´3500K, Gehäuse schwarz</v>
      </c>
      <c r="C1481" t="str">
        <f t="shared" si="76"/>
        <v>11</v>
      </c>
      <c r="D1481" s="1">
        <v>152</v>
      </c>
    </row>
    <row r="1482" spans="1:4" x14ac:dyDescent="0.25">
      <c r="A1482" t="str">
        <f>"SLC-30WW11"</f>
        <v>SLC-30WW11</v>
      </c>
      <c r="B1482" t="str">
        <f>"SLC, Schienenstrahler, CoB LED, 26W, 24°, 3000K, Gehäuse weiß"</f>
        <v>SLC, Schienenstrahler, CoB LED, 26W, 24°, 3000K, Gehäuse weiß</v>
      </c>
      <c r="C1482" t="str">
        <f t="shared" si="76"/>
        <v>11</v>
      </c>
      <c r="D1482" s="1">
        <v>152</v>
      </c>
    </row>
    <row r="1483" spans="1:4" x14ac:dyDescent="0.25">
      <c r="A1483" t="str">
        <f>"SLC-30WW11F"</f>
        <v>SLC-30WW11F</v>
      </c>
      <c r="B1483" t="str">
        <f>"SLC, Schienenstrahler, CoB LED, 26W, 36°, 3000K, Gehäuse weiß"</f>
        <v>SLC, Schienenstrahler, CoB LED, 26W, 36°, 3000K, Gehäuse weiß</v>
      </c>
      <c r="C1483" t="str">
        <f t="shared" si="76"/>
        <v>11</v>
      </c>
      <c r="D1483" s="1">
        <v>152</v>
      </c>
    </row>
    <row r="1484" spans="1:4" x14ac:dyDescent="0.25">
      <c r="A1484" t="str">
        <f>"SLC-30WW11S"</f>
        <v>SLC-30WW11S</v>
      </c>
      <c r="B1484" t="str">
        <f>"SLC, Schienenstrahler, CoB LED, 26W, 15°, 3000K, Gehäuse weiß"</f>
        <v>SLC, Schienenstrahler, CoB LED, 26W, 15°, 3000K, Gehäuse weiß</v>
      </c>
      <c r="C1484" t="str">
        <f t="shared" si="76"/>
        <v>11</v>
      </c>
      <c r="D1484" s="1">
        <v>152</v>
      </c>
    </row>
    <row r="1485" spans="1:4" x14ac:dyDescent="0.25">
      <c r="A1485" t="str">
        <f>"SLC-30WW12"</f>
        <v>SLC-30WW12</v>
      </c>
      <c r="B1485" t="str">
        <f>"SLC, Schienenstrahler, CoB LED, 26W, 24°, ´3000K, Gehäuse schwarz"</f>
        <v>SLC, Schienenstrahler, CoB LED, 26W, 24°, ´3000K, Gehäuse schwarz</v>
      </c>
      <c r="C1485" t="str">
        <f t="shared" si="76"/>
        <v>11</v>
      </c>
      <c r="D1485" s="1">
        <v>152</v>
      </c>
    </row>
    <row r="1486" spans="1:4" x14ac:dyDescent="0.25">
      <c r="A1486" t="str">
        <f>"SLC-30WW12F"</f>
        <v>SLC-30WW12F</v>
      </c>
      <c r="B1486" t="str">
        <f>"SLC, Schienenstrahler, CoB LED, 26W, 36°, ´3000K, Gehäuse schwarz"</f>
        <v>SLC, Schienenstrahler, CoB LED, 26W, 36°, ´3000K, Gehäuse schwarz</v>
      </c>
      <c r="C1486" t="str">
        <f t="shared" si="76"/>
        <v>11</v>
      </c>
      <c r="D1486" s="1">
        <v>152</v>
      </c>
    </row>
    <row r="1487" spans="1:4" x14ac:dyDescent="0.25">
      <c r="A1487" t="str">
        <f>"SLC-30WW12S"</f>
        <v>SLC-30WW12S</v>
      </c>
      <c r="B1487" t="str">
        <f>"SLC, Schienenstrahler, CoB LED, 26W, 15°, ´3000K, Gehäuse schwarz"</f>
        <v>SLC, Schienenstrahler, CoB LED, 26W, 15°, ´3000K, Gehäuse schwarz</v>
      </c>
      <c r="C1487" t="str">
        <f t="shared" si="76"/>
        <v>11</v>
      </c>
      <c r="D1487" s="1">
        <v>152</v>
      </c>
    </row>
    <row r="1488" spans="1:4" x14ac:dyDescent="0.25">
      <c r="A1488" t="str">
        <f>"SLLN-42NW17"</f>
        <v>SLLN-42NW17</v>
      </c>
      <c r="B1488" t="str">
        <f>"SLLN, Stromschienenleuchte LED 42W, 4000K, Gehäuse alu eloxiert"</f>
        <v>SLLN, Stromschienenleuchte LED 42W, 4000K, Gehäuse alu eloxiert</v>
      </c>
      <c r="C1488" t="str">
        <f t="shared" ref="C1488:C1493" si="77">"23"</f>
        <v>23</v>
      </c>
      <c r="D1488" s="1">
        <v>450</v>
      </c>
    </row>
    <row r="1489" spans="1:4" x14ac:dyDescent="0.25">
      <c r="A1489" t="str">
        <f>"SLLN-42NW37"</f>
        <v>SLLN-42NW37</v>
      </c>
      <c r="B1489" t="str">
        <f>"SLLN, Pendelleuchte LED 42W, 4000K, Gehäuse alu eloxiert"</f>
        <v>SLLN, Pendelleuchte LED 42W, 4000K, Gehäuse alu eloxiert</v>
      </c>
      <c r="C1489" t="str">
        <f t="shared" si="77"/>
        <v>23</v>
      </c>
      <c r="D1489" s="1">
        <v>450</v>
      </c>
    </row>
    <row r="1490" spans="1:4" x14ac:dyDescent="0.25">
      <c r="A1490" t="str">
        <f>"SLLN-42SW17"</f>
        <v>SLLN-42SW17</v>
      </c>
      <c r="B1490" t="str">
        <f>"SLLN, Stromschienenleuchte LED 42W, 2700K, Gehäuse alu eloxiert"</f>
        <v>SLLN, Stromschienenleuchte LED 42W, 2700K, Gehäuse alu eloxiert</v>
      </c>
      <c r="C1490" t="str">
        <f t="shared" si="77"/>
        <v>23</v>
      </c>
      <c r="D1490" s="1">
        <v>450</v>
      </c>
    </row>
    <row r="1491" spans="1:4" x14ac:dyDescent="0.25">
      <c r="A1491" t="str">
        <f>"SLLN-42SW37"</f>
        <v>SLLN-42SW37</v>
      </c>
      <c r="B1491" t="str">
        <f>"SLLN, Pendelleuchte LED 42W, 2700K 2700K, Gehäuse alu eloxiert"</f>
        <v>SLLN, Pendelleuchte LED 42W, 2700K 2700K, Gehäuse alu eloxiert</v>
      </c>
      <c r="C1491" t="str">
        <f t="shared" si="77"/>
        <v>23</v>
      </c>
      <c r="D1491" s="1">
        <v>450</v>
      </c>
    </row>
    <row r="1492" spans="1:4" x14ac:dyDescent="0.25">
      <c r="A1492" t="str">
        <f>"SLLN-42WW17"</f>
        <v>SLLN-42WW17</v>
      </c>
      <c r="B1492" t="str">
        <f>"SLLN, Stromschienenleuchte LED 42W, 3000K, Gehäuse alu eloxiert"</f>
        <v>SLLN, Stromschienenleuchte LED 42W, 3000K, Gehäuse alu eloxiert</v>
      </c>
      <c r="C1492" t="str">
        <f t="shared" si="77"/>
        <v>23</v>
      </c>
      <c r="D1492" s="1">
        <v>450</v>
      </c>
    </row>
    <row r="1493" spans="1:4" x14ac:dyDescent="0.25">
      <c r="A1493" t="str">
        <f>"SLLN-42WW37"</f>
        <v>SLLN-42WW37</v>
      </c>
      <c r="B1493" t="str">
        <f>"SLLN, Pendelleuchte LED 42W, 3000K, Gehäuse alu eloxiert"</f>
        <v>SLLN, Pendelleuchte LED 42W, 3000K, Gehäuse alu eloxiert</v>
      </c>
      <c r="C1493" t="str">
        <f t="shared" si="77"/>
        <v>23</v>
      </c>
      <c r="D1493" s="1">
        <v>450</v>
      </c>
    </row>
    <row r="1494" spans="1:4" x14ac:dyDescent="0.25">
      <c r="A1494" t="str">
        <f>"SLM-10011"</f>
        <v>SLM-10011</v>
      </c>
      <c r="B1494" t="str">
        <f>"SLM, Stromschienenleuchte für GU10, weiss"</f>
        <v>SLM, Stromschienenleuchte für GU10, weiss</v>
      </c>
      <c r="C1494" t="str">
        <f>"24"</f>
        <v>24</v>
      </c>
      <c r="D1494" s="1">
        <v>56.25</v>
      </c>
    </row>
    <row r="1495" spans="1:4" x14ac:dyDescent="0.25">
      <c r="A1495" t="str">
        <f>"SLM-10012"</f>
        <v>SLM-10012</v>
      </c>
      <c r="B1495" t="str">
        <f>"SLM, Stromschienenleuchte für GU10, schwarz"</f>
        <v>SLM, Stromschienenleuchte für GU10, schwarz</v>
      </c>
      <c r="C1495" t="str">
        <f>"24"</f>
        <v>24</v>
      </c>
      <c r="D1495" s="1">
        <v>56.25</v>
      </c>
    </row>
    <row r="1496" spans="1:4" x14ac:dyDescent="0.25">
      <c r="A1496" t="str">
        <f>"SMALL-8NW2"</f>
        <v>SMALL-8NW2</v>
      </c>
      <c r="B1496" t="str">
        <f>"5608NE4K SmallLED 8,5W, 4000K, inkl. Netzteil, schwarz"</f>
        <v>5608NE4K SmallLED 8,5W, 4000K, inkl. Netzteil, schwarz</v>
      </c>
      <c r="C1496" t="str">
        <f t="shared" ref="C1496:C1523" si="78">"199"</f>
        <v>199</v>
      </c>
      <c r="D1496" s="1">
        <v>245</v>
      </c>
    </row>
    <row r="1497" spans="1:4" x14ac:dyDescent="0.25">
      <c r="A1497" t="str">
        <f>"SMALL-8NW7"</f>
        <v>SMALL-8NW7</v>
      </c>
      <c r="B1497" t="str">
        <f>"5608SI4K SmallLED 8,5W, 4000K, inkl. Netzteil, metallgrau"</f>
        <v>5608SI4K SmallLED 8,5W, 4000K, inkl. Netzteil, metallgrau</v>
      </c>
      <c r="C1497" t="str">
        <f t="shared" si="78"/>
        <v>199</v>
      </c>
      <c r="D1497" s="1">
        <v>253</v>
      </c>
    </row>
    <row r="1498" spans="1:4" x14ac:dyDescent="0.25">
      <c r="A1498" t="str">
        <f>"SMALL-8WW2"</f>
        <v>SMALL-8WW2</v>
      </c>
      <c r="B1498" t="str">
        <f>"5608NE3K SmallLED 8,5W, 3000K, inkl. Netzteil, schwarz"</f>
        <v>5608NE3K SmallLED 8,5W, 3000K, inkl. Netzteil, schwarz</v>
      </c>
      <c r="C1498" t="str">
        <f t="shared" si="78"/>
        <v>199</v>
      </c>
      <c r="D1498" s="1">
        <v>245</v>
      </c>
    </row>
    <row r="1499" spans="1:4" x14ac:dyDescent="0.25">
      <c r="A1499" t="str">
        <f>"SMALL-8WW7"</f>
        <v>SMALL-8WW7</v>
      </c>
      <c r="B1499" t="str">
        <f>"5608SI3K SmallLED 8,5W, 3000K, inkl. Netzteil, metallgrau"</f>
        <v>5608SI3K SmallLED 8,5W, 3000K, inkl. Netzteil, metallgrau</v>
      </c>
      <c r="C1499" t="str">
        <f t="shared" si="78"/>
        <v>199</v>
      </c>
      <c r="D1499" s="1">
        <v>253</v>
      </c>
    </row>
    <row r="1500" spans="1:4" x14ac:dyDescent="0.25">
      <c r="A1500" t="str">
        <f>"SMAXI-20NW2"</f>
        <v>SMAXI-20NW2</v>
      </c>
      <c r="B1500" t="str">
        <f>"5212NE4K SuperMaxiLED 20W, 4000K, L=1007mm, mit Treiber, Alu, schwarz"</f>
        <v>5212NE4K SuperMaxiLED 20W, 4000K, L=1007mm, mit Treiber, Alu, schwarz</v>
      </c>
      <c r="C1500" t="str">
        <f t="shared" si="78"/>
        <v>199</v>
      </c>
      <c r="D1500" s="1">
        <v>659</v>
      </c>
    </row>
    <row r="1501" spans="1:4" x14ac:dyDescent="0.25">
      <c r="A1501" t="str">
        <f>"SMAXI-20NW7"</f>
        <v>SMAXI-20NW7</v>
      </c>
      <c r="B1501" t="str">
        <f>"5212SI4K SuperMaxiLED 20W, 4000K, L=1007mm, mit Treiber, Alu, metallgrau"</f>
        <v>5212SI4K SuperMaxiLED 20W, 4000K, L=1007mm, mit Treiber, Alu, metallgrau</v>
      </c>
      <c r="C1501" t="str">
        <f t="shared" si="78"/>
        <v>199</v>
      </c>
      <c r="D1501" s="1">
        <v>675</v>
      </c>
    </row>
    <row r="1502" spans="1:4" x14ac:dyDescent="0.25">
      <c r="A1502" t="str">
        <f>"SMAXI-20WW2"</f>
        <v>SMAXI-20WW2</v>
      </c>
      <c r="B1502" t="str">
        <f>"5212NE3K SuperMaxiLED 20W, 3000K, L=1007mm, mit Treiber, Alu, schwarz"</f>
        <v>5212NE3K SuperMaxiLED 20W, 3000K, L=1007mm, mit Treiber, Alu, schwarz</v>
      </c>
      <c r="C1502" t="str">
        <f t="shared" si="78"/>
        <v>199</v>
      </c>
      <c r="D1502" s="1">
        <v>659</v>
      </c>
    </row>
    <row r="1503" spans="1:4" x14ac:dyDescent="0.25">
      <c r="A1503" t="str">
        <f>"SMAXI-20WW7"</f>
        <v>SMAXI-20WW7</v>
      </c>
      <c r="B1503" t="str">
        <f>"5212SI3K SuperMaxiLED 20W, 3000K, L=1007mm, mit Treiber, Alu, metallgrau"</f>
        <v>5212SI3K SuperMaxiLED 20W, 3000K, L=1007mm, mit Treiber, Alu, metallgrau</v>
      </c>
      <c r="C1503" t="str">
        <f t="shared" si="78"/>
        <v>199</v>
      </c>
      <c r="D1503" s="1">
        <v>675</v>
      </c>
    </row>
    <row r="1504" spans="1:4" x14ac:dyDescent="0.25">
      <c r="A1504" t="str">
        <f>"SMAXI-29NW2"</f>
        <v>SMAXI-29NW2</v>
      </c>
      <c r="B1504" t="str">
        <f>"5221NE4K SuperMaxiLED 29W, 4000K, L=1348mm, mit Treiber, Alu, schwarz"</f>
        <v>5221NE4K SuperMaxiLED 29W, 4000K, L=1348mm, mit Treiber, Alu, schwarz</v>
      </c>
      <c r="C1504" t="str">
        <f t="shared" si="78"/>
        <v>199</v>
      </c>
      <c r="D1504" s="1">
        <v>755</v>
      </c>
    </row>
    <row r="1505" spans="1:4" x14ac:dyDescent="0.25">
      <c r="A1505" t="str">
        <f>"SMAXI-29NW7"</f>
        <v>SMAXI-29NW7</v>
      </c>
      <c r="B1505" t="str">
        <f>"5221SI4K SuperMaxiLED 29W, 4000K, L=1348mm, mit Treiber, Alu, metallgrau"</f>
        <v>5221SI4K SuperMaxiLED 29W, 4000K, L=1348mm, mit Treiber, Alu, metallgrau</v>
      </c>
      <c r="C1505" t="str">
        <f t="shared" si="78"/>
        <v>199</v>
      </c>
      <c r="D1505" s="1">
        <v>767</v>
      </c>
    </row>
    <row r="1506" spans="1:4" x14ac:dyDescent="0.25">
      <c r="A1506" t="str">
        <f>"SMAXI-29WW2"</f>
        <v>SMAXI-29WW2</v>
      </c>
      <c r="B1506" t="str">
        <f>"5221NE3K SuperMaxiLED 29W, 3000K, L=1348mm, mit Treiber, Alu, schwarz"</f>
        <v>5221NE3K SuperMaxiLED 29W, 3000K, L=1348mm, mit Treiber, Alu, schwarz</v>
      </c>
      <c r="C1506" t="str">
        <f t="shared" si="78"/>
        <v>199</v>
      </c>
      <c r="D1506" s="1">
        <v>755</v>
      </c>
    </row>
    <row r="1507" spans="1:4" x14ac:dyDescent="0.25">
      <c r="A1507" t="str">
        <f>"SMAXI-29WW7"</f>
        <v>SMAXI-29WW7</v>
      </c>
      <c r="B1507" t="str">
        <f>"5221SI3K SuperMaxiLED 29W, 3000K, L=1348mm, mit Treiber, Alu, metallgrau"</f>
        <v>5221SI3K SuperMaxiLED 29W, 3000K, L=1348mm, mit Treiber, Alu, metallgrau</v>
      </c>
      <c r="C1507" t="str">
        <f t="shared" si="78"/>
        <v>199</v>
      </c>
      <c r="D1507" s="1">
        <v>767</v>
      </c>
    </row>
    <row r="1508" spans="1:4" x14ac:dyDescent="0.25">
      <c r="A1508" t="str">
        <f>"SMAXI-34NW2"</f>
        <v>SMAXI-34NW2</v>
      </c>
      <c r="B1508" t="str">
        <f>"5232NE4K SuperMaxiLED 34W, 4000K, L=1578mm, mit Treiber, Alu, schwarz"</f>
        <v>5232NE4K SuperMaxiLED 34W, 4000K, L=1578mm, mit Treiber, Alu, schwarz</v>
      </c>
      <c r="C1508" t="str">
        <f t="shared" si="78"/>
        <v>199</v>
      </c>
      <c r="D1508" s="1">
        <v>843.5</v>
      </c>
    </row>
    <row r="1509" spans="1:4" x14ac:dyDescent="0.25">
      <c r="A1509" t="str">
        <f>"SMAXI-34NW7"</f>
        <v>SMAXI-34NW7</v>
      </c>
      <c r="B1509" t="str">
        <f>"5232SI4K SuperMaxiLED 34W, 4000K, L=1578mm, mit Treiber, Alu, metallgrau"</f>
        <v>5232SI4K SuperMaxiLED 34W, 4000K, L=1578mm, mit Treiber, Alu, metallgrau</v>
      </c>
      <c r="C1509" t="str">
        <f t="shared" si="78"/>
        <v>199</v>
      </c>
      <c r="D1509" s="1">
        <v>875</v>
      </c>
    </row>
    <row r="1510" spans="1:4" x14ac:dyDescent="0.25">
      <c r="A1510" t="str">
        <f>"SMAXI-34WW2"</f>
        <v>SMAXI-34WW2</v>
      </c>
      <c r="B1510" t="str">
        <f>"5232NE3K SuperMaxiLED 34W, 3000K, L=1578mm, mit Treiber, Alu, schwarz"</f>
        <v>5232NE3K SuperMaxiLED 34W, 3000K, L=1578mm, mit Treiber, Alu, schwarz</v>
      </c>
      <c r="C1510" t="str">
        <f t="shared" si="78"/>
        <v>199</v>
      </c>
      <c r="D1510" s="1">
        <v>843.5</v>
      </c>
    </row>
    <row r="1511" spans="1:4" x14ac:dyDescent="0.25">
      <c r="A1511" t="str">
        <f>"SMAXI-34WW7"</f>
        <v>SMAXI-34WW7</v>
      </c>
      <c r="B1511" t="str">
        <f>"5232SI3K SuperMaxiLED 34W, 3000K, L=1578mm, mit Treiber, Alu, metallgrau"</f>
        <v>5232SI3K SuperMaxiLED 34W, 3000K, L=1578mm, mit Treiber, Alu, metallgrau</v>
      </c>
      <c r="C1511" t="str">
        <f t="shared" si="78"/>
        <v>199</v>
      </c>
      <c r="D1511" s="1">
        <v>875</v>
      </c>
    </row>
    <row r="1512" spans="1:4" x14ac:dyDescent="0.25">
      <c r="A1512" t="str">
        <f>"SMAXI-40NW2"</f>
        <v>SMAXI-40NW2</v>
      </c>
      <c r="B1512" t="str">
        <f>"5213NE4K SuperMaxiLED 40W, 4000K, L=1007mm, mit Treiber, Alu, schwarz"</f>
        <v>5213NE4K SuperMaxiLED 40W, 4000K, L=1007mm, mit Treiber, Alu, schwarz</v>
      </c>
      <c r="C1512" t="str">
        <f t="shared" si="78"/>
        <v>199</v>
      </c>
      <c r="D1512" s="1">
        <v>744</v>
      </c>
    </row>
    <row r="1513" spans="1:4" x14ac:dyDescent="0.25">
      <c r="A1513" t="str">
        <f>"SMAXI-40NW7"</f>
        <v>SMAXI-40NW7</v>
      </c>
      <c r="B1513" t="str">
        <f>"5213SI4K SuperMaxiLED 40W, 4000K, L=1007mm, mit Treiber, Alu, metallgrau"</f>
        <v>5213SI4K SuperMaxiLED 40W, 4000K, L=1007mm, mit Treiber, Alu, metallgrau</v>
      </c>
      <c r="C1513" t="str">
        <f t="shared" si="78"/>
        <v>199</v>
      </c>
      <c r="D1513" s="1">
        <v>751</v>
      </c>
    </row>
    <row r="1514" spans="1:4" x14ac:dyDescent="0.25">
      <c r="A1514" t="str">
        <f>"SMAXI-40WW2"</f>
        <v>SMAXI-40WW2</v>
      </c>
      <c r="B1514" t="str">
        <f>"5213NE3K SuperMaxiLED 40W, 3000K, L=1007mm, mit Treiber, Alu, schwarz"</f>
        <v>5213NE3K SuperMaxiLED 40W, 3000K, L=1007mm, mit Treiber, Alu, schwarz</v>
      </c>
      <c r="C1514" t="str">
        <f t="shared" si="78"/>
        <v>199</v>
      </c>
      <c r="D1514" s="1">
        <v>744</v>
      </c>
    </row>
    <row r="1515" spans="1:4" x14ac:dyDescent="0.25">
      <c r="A1515" t="str">
        <f>"SMAXI-40WW7"</f>
        <v>SMAXI-40WW7</v>
      </c>
      <c r="B1515" t="str">
        <f>"5213SI3K SuperMaxiLED 40W, 3000K, L=1007mm, mit Treiber, Alu, metallgrau"</f>
        <v>5213SI3K SuperMaxiLED 40W, 3000K, L=1007mm, mit Treiber, Alu, metallgrau</v>
      </c>
      <c r="C1515" t="str">
        <f t="shared" si="78"/>
        <v>199</v>
      </c>
      <c r="D1515" s="1">
        <v>751</v>
      </c>
    </row>
    <row r="1516" spans="1:4" x14ac:dyDescent="0.25">
      <c r="A1516" t="str">
        <f>"SMAXI-58NW2"</f>
        <v>SMAXI-58NW2</v>
      </c>
      <c r="B1516" t="str">
        <f>"5223NE4K SuperMaxiLED 58W, 4000K, L=1348mm, mit Treiber, Alu, schwarz"</f>
        <v>5223NE4K SuperMaxiLED 58W, 4000K, L=1348mm, mit Treiber, Alu, schwarz</v>
      </c>
      <c r="C1516" t="str">
        <f t="shared" si="78"/>
        <v>199</v>
      </c>
      <c r="D1516" s="1">
        <v>843</v>
      </c>
    </row>
    <row r="1517" spans="1:4" x14ac:dyDescent="0.25">
      <c r="A1517" t="str">
        <f>"SMAXI-58NW7"</f>
        <v>SMAXI-58NW7</v>
      </c>
      <c r="B1517" t="str">
        <f>"5223SI4K SuperMaxiLED 58W, 4000K, L=1348mm, mit Treiber, Alu, metallgrau"</f>
        <v>5223SI4K SuperMaxiLED 58W, 4000K, L=1348mm, mit Treiber, Alu, metallgrau</v>
      </c>
      <c r="C1517" t="str">
        <f t="shared" si="78"/>
        <v>199</v>
      </c>
      <c r="D1517" s="1">
        <v>859</v>
      </c>
    </row>
    <row r="1518" spans="1:4" x14ac:dyDescent="0.25">
      <c r="A1518" t="str">
        <f>"SMAXI-58WW2"</f>
        <v>SMAXI-58WW2</v>
      </c>
      <c r="B1518" t="str">
        <f>"5223NE3K SuperMaxiLED 58W, 3000K, L=1348mm, mit Treiber, Alu, schwarz"</f>
        <v>5223NE3K SuperMaxiLED 58W, 3000K, L=1348mm, mit Treiber, Alu, schwarz</v>
      </c>
      <c r="C1518" t="str">
        <f t="shared" si="78"/>
        <v>199</v>
      </c>
      <c r="D1518" s="1">
        <v>843</v>
      </c>
    </row>
    <row r="1519" spans="1:4" x14ac:dyDescent="0.25">
      <c r="A1519" t="str">
        <f>"SMAXI-58WW7"</f>
        <v>SMAXI-58WW7</v>
      </c>
      <c r="B1519" t="str">
        <f>"5223SI3K SuperMaxiLED 58W, 3000K, L=1348mm, mit Treiber, Alu, metallgrau"</f>
        <v>5223SI3K SuperMaxiLED 58W, 3000K, L=1348mm, mit Treiber, Alu, metallgrau</v>
      </c>
      <c r="C1519" t="str">
        <f t="shared" si="78"/>
        <v>199</v>
      </c>
      <c r="D1519" s="1">
        <v>859</v>
      </c>
    </row>
    <row r="1520" spans="1:4" x14ac:dyDescent="0.25">
      <c r="A1520" t="str">
        <f>"SMAXI-69NW2"</f>
        <v>SMAXI-69NW2</v>
      </c>
      <c r="B1520" t="str">
        <f>"5233NE4K SuperMaxiLED 69W, 4000K, L=1578mm, mit Treiber, Alu, schwarz"</f>
        <v>5233NE4K SuperMaxiLED 69W, 4000K, L=1578mm, mit Treiber, Alu, schwarz</v>
      </c>
      <c r="C1520" t="str">
        <f t="shared" si="78"/>
        <v>199</v>
      </c>
      <c r="D1520" s="1">
        <v>974</v>
      </c>
    </row>
    <row r="1521" spans="1:4" x14ac:dyDescent="0.25">
      <c r="A1521" t="str">
        <f>"SMAXI-69NW7"</f>
        <v>SMAXI-69NW7</v>
      </c>
      <c r="B1521" t="str">
        <f>"5233SI4K SuperMaxiLED 69W, 4000K, L=1578mm, mit Treiber, Alu, metallgrau"</f>
        <v>5233SI4K SuperMaxiLED 69W, 4000K, L=1578mm, mit Treiber, Alu, metallgrau</v>
      </c>
      <c r="C1521" t="str">
        <f t="shared" si="78"/>
        <v>199</v>
      </c>
      <c r="D1521" s="1">
        <v>989</v>
      </c>
    </row>
    <row r="1522" spans="1:4" x14ac:dyDescent="0.25">
      <c r="A1522" t="str">
        <f>"SMAXI-69WW2"</f>
        <v>SMAXI-69WW2</v>
      </c>
      <c r="B1522" t="str">
        <f>"5233NE3K SuperMaxiLED 69W, 3000K, L=1578mm, mit Treiber, Alu, schwarz"</f>
        <v>5233NE3K SuperMaxiLED 69W, 3000K, L=1578mm, mit Treiber, Alu, schwarz</v>
      </c>
      <c r="C1522" t="str">
        <f t="shared" si="78"/>
        <v>199</v>
      </c>
      <c r="D1522" s="1">
        <v>974</v>
      </c>
    </row>
    <row r="1523" spans="1:4" x14ac:dyDescent="0.25">
      <c r="A1523" t="str">
        <f>"SMAXI-69WW7"</f>
        <v>SMAXI-69WW7</v>
      </c>
      <c r="B1523" t="str">
        <f>"5233SI3K SuperMaxiLED 69W, 3000K, L=1578mm, mit Treiber, Alu, metallgrau"</f>
        <v>5233SI3K SuperMaxiLED 69W, 3000K, L=1578mm, mit Treiber, Alu, metallgrau</v>
      </c>
      <c r="C1523" t="str">
        <f t="shared" si="78"/>
        <v>199</v>
      </c>
      <c r="D1523" s="1">
        <v>989</v>
      </c>
    </row>
    <row r="1524" spans="1:4" x14ac:dyDescent="0.25">
      <c r="A1524" t="str">
        <f>"SPC-DK"</f>
        <v>SPC-DK</v>
      </c>
      <c r="B1524" t="str">
        <f>"Klarer Diffuser für Hallenleuchte SPACE "</f>
        <v xml:space="preserve">Klarer Diffuser für Hallenleuchte SPACE </v>
      </c>
      <c r="C1524" t="str">
        <f t="shared" ref="C1524:C1547" si="79">"129"</f>
        <v>129</v>
      </c>
      <c r="D1524" s="1">
        <v>22.5</v>
      </c>
    </row>
    <row r="1525" spans="1:4" x14ac:dyDescent="0.25">
      <c r="A1525" t="str">
        <f>"SPC-DO"</f>
        <v>SPC-DO</v>
      </c>
      <c r="B1525" t="str">
        <f>"PC Diffuser opal für Hallenleuchte SPACE "</f>
        <v xml:space="preserve">PC Diffuser opal für Hallenleuchte SPACE </v>
      </c>
      <c r="C1525" t="str">
        <f t="shared" si="79"/>
        <v>129</v>
      </c>
      <c r="D1525" s="1">
        <v>22.5</v>
      </c>
    </row>
    <row r="1526" spans="1:4" x14ac:dyDescent="0.25">
      <c r="A1526" t="str">
        <f>"SPC-HA"</f>
        <v>SPC-HA</v>
      </c>
      <c r="B1526" t="str">
        <f>"Aufhängeöse für Hallenleuchte SPACE "</f>
        <v xml:space="preserve">Aufhängeöse für Hallenleuchte SPACE </v>
      </c>
      <c r="C1526" t="str">
        <f t="shared" si="79"/>
        <v>129</v>
      </c>
      <c r="D1526" s="1">
        <v>15</v>
      </c>
    </row>
    <row r="1527" spans="1:4" x14ac:dyDescent="0.25">
      <c r="A1527" t="str">
        <f>"SPC-HALT"</f>
        <v>SPC-HALT</v>
      </c>
      <c r="B1527" t="str">
        <f>"Haltebügel für Hallenleuchte SPACE "</f>
        <v xml:space="preserve">Haltebügel für Hallenleuchte SPACE </v>
      </c>
      <c r="C1527" t="str">
        <f t="shared" si="79"/>
        <v>129</v>
      </c>
      <c r="D1527" s="1">
        <v>32.5</v>
      </c>
    </row>
    <row r="1528" spans="1:4" x14ac:dyDescent="0.25">
      <c r="A1528" t="str">
        <f>"SPC-HALT1"</f>
        <v>SPC-HALT1</v>
      </c>
      <c r="B1528" t="str">
        <f>"Haltebügel für Hallenleuchte SPACE ab 180W"</f>
        <v>Haltebügel für Hallenleuchte SPACE ab 180W</v>
      </c>
      <c r="C1528" t="str">
        <f t="shared" si="79"/>
        <v>129</v>
      </c>
      <c r="D1528" s="1">
        <v>35</v>
      </c>
    </row>
    <row r="1529" spans="1:4" x14ac:dyDescent="0.25">
      <c r="A1529" t="str">
        <f>"SPC-IPC"</f>
        <v>SPC-IPC</v>
      </c>
      <c r="B1529" t="str">
        <f>"Verbinder in IP67 für SPACE Hallenleuchte"</f>
        <v>Verbinder in IP67 für SPACE Hallenleuchte</v>
      </c>
      <c r="C1529" t="str">
        <f t="shared" si="79"/>
        <v>129</v>
      </c>
      <c r="D1529" s="1">
        <v>17.5</v>
      </c>
    </row>
    <row r="1530" spans="1:4" x14ac:dyDescent="0.25">
      <c r="A1530" t="str">
        <f>"SPCNS-100NW2"</f>
        <v>SPCNS-100NW2</v>
      </c>
      <c r="B1530" t="str">
        <f>"SPACE, Hallenleuchte mit Sensor, LED 100W, 4000K, schwarz, 1-10V"</f>
        <v>SPACE, Hallenleuchte mit Sensor, LED 100W, 4000K, schwarz, 1-10V</v>
      </c>
      <c r="C1530" t="str">
        <f t="shared" si="79"/>
        <v>129</v>
      </c>
      <c r="D1530" s="1">
        <v>417.5</v>
      </c>
    </row>
    <row r="1531" spans="1:4" x14ac:dyDescent="0.25">
      <c r="A1531" t="str">
        <f>"SPCNS-100SCW2"</f>
        <v>SPCNS-100SCW2</v>
      </c>
      <c r="B1531" t="str">
        <f>"SPACE, Hallenleuchte mit Sensor, LED 100W, 5700K, schwarz, 1-10V"</f>
        <v>SPACE, Hallenleuchte mit Sensor, LED 100W, 5700K, schwarz, 1-10V</v>
      </c>
      <c r="C1531" t="str">
        <f t="shared" si="79"/>
        <v>129</v>
      </c>
      <c r="D1531" s="1">
        <v>417.5</v>
      </c>
    </row>
    <row r="1532" spans="1:4" x14ac:dyDescent="0.25">
      <c r="A1532" t="str">
        <f>"SPCNS-120NW2"</f>
        <v>SPCNS-120NW2</v>
      </c>
      <c r="B1532" t="str">
        <f>"SPACE, Hallenleuchte mit Sensor, LED 120W, 4000K, schwarz, 1-10V"</f>
        <v>SPACE, Hallenleuchte mit Sensor, LED 120W, 4000K, schwarz, 1-10V</v>
      </c>
      <c r="C1532" t="str">
        <f t="shared" si="79"/>
        <v>129</v>
      </c>
      <c r="D1532" s="1">
        <v>442.5</v>
      </c>
    </row>
    <row r="1533" spans="1:4" x14ac:dyDescent="0.25">
      <c r="A1533" t="str">
        <f>"SPCNS-120SCW2"</f>
        <v>SPCNS-120SCW2</v>
      </c>
      <c r="B1533" t="str">
        <f>"SPACE, Hallenleuchte mit Sensor, LED 120W, 5700K, schwarz, 1-10V"</f>
        <v>SPACE, Hallenleuchte mit Sensor, LED 120W, 5700K, schwarz, 1-10V</v>
      </c>
      <c r="C1533" t="str">
        <f t="shared" si="79"/>
        <v>129</v>
      </c>
      <c r="D1533" s="1">
        <v>442.5</v>
      </c>
    </row>
    <row r="1534" spans="1:4" x14ac:dyDescent="0.25">
      <c r="A1534" t="str">
        <f>"SPCNS-150NW2"</f>
        <v>SPCNS-150NW2</v>
      </c>
      <c r="B1534" t="str">
        <f>"SPACE, Hallenleuchte mit Sensor, LED 150W, 4000K, schwarz, 1-10V"</f>
        <v>SPACE, Hallenleuchte mit Sensor, LED 150W, 4000K, schwarz, 1-10V</v>
      </c>
      <c r="C1534" t="str">
        <f t="shared" si="79"/>
        <v>129</v>
      </c>
      <c r="D1534" s="1">
        <v>450</v>
      </c>
    </row>
    <row r="1535" spans="1:4" x14ac:dyDescent="0.25">
      <c r="A1535" t="str">
        <f>"SPCNS-150SCW2"</f>
        <v>SPCNS-150SCW2</v>
      </c>
      <c r="B1535" t="str">
        <f>"SPACE, Hallenleuchte mit Sensor, LED 150W, 5700K, schwarz, 1-10V"</f>
        <v>SPACE, Hallenleuchte mit Sensor, LED 150W, 5700K, schwarz, 1-10V</v>
      </c>
      <c r="C1535" t="str">
        <f t="shared" si="79"/>
        <v>129</v>
      </c>
      <c r="D1535" s="1">
        <v>450</v>
      </c>
    </row>
    <row r="1536" spans="1:4" x14ac:dyDescent="0.25">
      <c r="A1536" t="str">
        <f>"SPCNS-200NW2"</f>
        <v>SPCNS-200NW2</v>
      </c>
      <c r="B1536" t="str">
        <f>"SPACE, Hallenleuchte mit Sensor, LED 200W, 4000K, schwarz, 1-10V"</f>
        <v>SPACE, Hallenleuchte mit Sensor, LED 200W, 4000K, schwarz, 1-10V</v>
      </c>
      <c r="C1536" t="str">
        <f t="shared" si="79"/>
        <v>129</v>
      </c>
      <c r="D1536" s="1">
        <v>535</v>
      </c>
    </row>
    <row r="1537" spans="1:4" x14ac:dyDescent="0.25">
      <c r="A1537" t="str">
        <f>"SPCNS-200SCW2"</f>
        <v>SPCNS-200SCW2</v>
      </c>
      <c r="B1537" t="str">
        <f>"SPACE, Hallenleuchte mit Sensor, LED 200W, 5700K, schwarz, 1-10V"</f>
        <v>SPACE, Hallenleuchte mit Sensor, LED 200W, 5700K, schwarz, 1-10V</v>
      </c>
      <c r="C1537" t="str">
        <f t="shared" si="79"/>
        <v>129</v>
      </c>
      <c r="D1537" s="1">
        <v>535</v>
      </c>
    </row>
    <row r="1538" spans="1:4" x14ac:dyDescent="0.25">
      <c r="A1538" t="str">
        <f>"SPCN-100NW2"</f>
        <v>SPCN-100NW2</v>
      </c>
      <c r="B1538" t="str">
        <f>"SPACE, Hallenleuchte, LED 100W, 4000K, schwarz, 1-10V"</f>
        <v>SPACE, Hallenleuchte, LED 100W, 4000K, schwarz, 1-10V</v>
      </c>
      <c r="C1538" t="str">
        <f t="shared" si="79"/>
        <v>129</v>
      </c>
      <c r="D1538" s="1">
        <v>312.5</v>
      </c>
    </row>
    <row r="1539" spans="1:4" x14ac:dyDescent="0.25">
      <c r="A1539" t="str">
        <f>"SPCN-100SCW2"</f>
        <v>SPCN-100SCW2</v>
      </c>
      <c r="B1539" t="str">
        <f>"SPACE, Hallenleuchte, LED 100W, 5700K, schwarz, 1-10V"</f>
        <v>SPACE, Hallenleuchte, LED 100W, 5700K, schwarz, 1-10V</v>
      </c>
      <c r="C1539" t="str">
        <f t="shared" si="79"/>
        <v>129</v>
      </c>
      <c r="D1539" s="1">
        <v>312.5</v>
      </c>
    </row>
    <row r="1540" spans="1:4" x14ac:dyDescent="0.25">
      <c r="A1540" t="str">
        <f>"SPCN-120NW2"</f>
        <v>SPCN-120NW2</v>
      </c>
      <c r="B1540" t="str">
        <f>"SPACE, Hallenleuchte, LED 120W, 4000K, schwarz, "</f>
        <v xml:space="preserve">SPACE, Hallenleuchte, LED 120W, 4000K, schwarz, </v>
      </c>
      <c r="C1540" t="str">
        <f t="shared" si="79"/>
        <v>129</v>
      </c>
      <c r="D1540" s="1">
        <v>337.5</v>
      </c>
    </row>
    <row r="1541" spans="1:4" x14ac:dyDescent="0.25">
      <c r="A1541" t="str">
        <f>"SPCN-120SCW2"</f>
        <v>SPCN-120SCW2</v>
      </c>
      <c r="B1541" t="str">
        <f>"SPACE, Hallenleuchte, LED 120W, 5700K, schwarz, "</f>
        <v xml:space="preserve">SPACE, Hallenleuchte, LED 120W, 5700K, schwarz, </v>
      </c>
      <c r="C1541" t="str">
        <f t="shared" si="79"/>
        <v>129</v>
      </c>
      <c r="D1541" s="1">
        <v>337.5</v>
      </c>
    </row>
    <row r="1542" spans="1:4" x14ac:dyDescent="0.25">
      <c r="A1542" t="str">
        <f>"SPCN-150NW2"</f>
        <v>SPCN-150NW2</v>
      </c>
      <c r="B1542" t="str">
        <f>"SPACE, Hallenleuchte, LED 150W, 4000K, schwarz, 1-10V"</f>
        <v>SPACE, Hallenleuchte, LED 150W, 4000K, schwarz, 1-10V</v>
      </c>
      <c r="C1542" t="str">
        <f t="shared" si="79"/>
        <v>129</v>
      </c>
      <c r="D1542" s="1">
        <v>345</v>
      </c>
    </row>
    <row r="1543" spans="1:4" x14ac:dyDescent="0.25">
      <c r="A1543" t="str">
        <f>"SPCN-150SCW2"</f>
        <v>SPCN-150SCW2</v>
      </c>
      <c r="B1543" t="str">
        <f>"SPACE, Hallenleuchte, LED 150W, 5700K, schwarz, 1-10V"</f>
        <v>SPACE, Hallenleuchte, LED 150W, 5700K, schwarz, 1-10V</v>
      </c>
      <c r="C1543" t="str">
        <f t="shared" si="79"/>
        <v>129</v>
      </c>
      <c r="D1543" s="1">
        <v>345</v>
      </c>
    </row>
    <row r="1544" spans="1:4" x14ac:dyDescent="0.25">
      <c r="A1544" t="str">
        <f>"SPCN-200NW2"</f>
        <v>SPCN-200NW2</v>
      </c>
      <c r="B1544" t="str">
        <f>"SPACE, Hallenleuchte, LED 200W, 4000K, schwarz, 1-10V"</f>
        <v>SPACE, Hallenleuchte, LED 200W, 4000K, schwarz, 1-10V</v>
      </c>
      <c r="C1544" t="str">
        <f t="shared" si="79"/>
        <v>129</v>
      </c>
      <c r="D1544" s="1">
        <v>430</v>
      </c>
    </row>
    <row r="1545" spans="1:4" x14ac:dyDescent="0.25">
      <c r="A1545" t="str">
        <f>"SPCN-200SCW2"</f>
        <v>SPCN-200SCW2</v>
      </c>
      <c r="B1545" t="str">
        <f>"SPACE, Hallenleuchte, LED 200W, 5700K, schwarz, 1-10V"</f>
        <v>SPACE, Hallenleuchte, LED 200W, 5700K, schwarz, 1-10V</v>
      </c>
      <c r="C1545" t="str">
        <f t="shared" si="79"/>
        <v>129</v>
      </c>
      <c r="D1545" s="1">
        <v>430</v>
      </c>
    </row>
    <row r="1546" spans="1:4" x14ac:dyDescent="0.25">
      <c r="A1546" t="str">
        <f>"SPC-RM60"</f>
        <v>SPC-RM60</v>
      </c>
      <c r="B1546" t="str">
        <f>"Metallreflektor 60° silber  für Hallenleuchte SPACE "</f>
        <v xml:space="preserve">Metallreflektor 60° silber  für Hallenleuchte SPACE </v>
      </c>
      <c r="C1546" t="str">
        <f t="shared" si="79"/>
        <v>129</v>
      </c>
      <c r="D1546" s="1">
        <v>35</v>
      </c>
    </row>
    <row r="1547" spans="1:4" x14ac:dyDescent="0.25">
      <c r="A1547" t="str">
        <f>"SPC-RM60BLACK"</f>
        <v>SPC-RM60BLACK</v>
      </c>
      <c r="B1547" t="str">
        <f>"Metallreflektor 60° schwarz für Hallenleuchte SPACE "</f>
        <v xml:space="preserve">Metallreflektor 60° schwarz für Hallenleuchte SPACE </v>
      </c>
      <c r="C1547" t="str">
        <f t="shared" si="79"/>
        <v>129</v>
      </c>
      <c r="D1547" s="1">
        <v>45</v>
      </c>
    </row>
    <row r="1548" spans="1:4" x14ac:dyDescent="0.25">
      <c r="A1548" t="str">
        <f>"STAMPA-10NW6"</f>
        <v>STAMPA-10NW6</v>
      </c>
      <c r="B1548" t="str">
        <f>"5323GR4K STAMP Markierungsleuchte LED, 4000K, 10W, graphitgrau"</f>
        <v>5323GR4K STAMP Markierungsleuchte LED, 4000K, 10W, graphitgrau</v>
      </c>
      <c r="C1548" t="str">
        <f t="shared" ref="C1548:C1571" si="80">"181"</f>
        <v>181</v>
      </c>
      <c r="D1548" s="1">
        <v>202.5</v>
      </c>
    </row>
    <row r="1549" spans="1:4" x14ac:dyDescent="0.25">
      <c r="A1549" t="str">
        <f>"STAMPA-10NW7"</f>
        <v>STAMPA-10NW7</v>
      </c>
      <c r="B1549" t="str">
        <f>"5323GM4K STAMP Markierungsleuchte LED, 4000K, 10W, metallgrau"</f>
        <v>5323GM4K STAMP Markierungsleuchte LED, 4000K, 10W, metallgrau</v>
      </c>
      <c r="C1549" t="str">
        <f t="shared" si="80"/>
        <v>181</v>
      </c>
      <c r="D1549" s="1">
        <v>202.5</v>
      </c>
    </row>
    <row r="1550" spans="1:4" x14ac:dyDescent="0.25">
      <c r="A1550" t="str">
        <f>"STAMPA-10WW6"</f>
        <v>STAMPA-10WW6</v>
      </c>
      <c r="B1550" t="str">
        <f>"5323GM4K STAMP Markierungsleuchte LED, 3000K, 10W, graphitgrau"</f>
        <v>5323GM4K STAMP Markierungsleuchte LED, 3000K, 10W, graphitgrau</v>
      </c>
      <c r="C1550" t="str">
        <f t="shared" si="80"/>
        <v>181</v>
      </c>
      <c r="D1550" s="1">
        <v>202.5</v>
      </c>
    </row>
    <row r="1551" spans="1:4" x14ac:dyDescent="0.25">
      <c r="A1551" t="str">
        <f>"STAMPA-10WW7"</f>
        <v>STAMPA-10WW7</v>
      </c>
      <c r="B1551" t="str">
        <f>"5323GM4K STAMP Markierungsleuchte LED, 3000K, 10W, metallgrau"</f>
        <v>5323GM4K STAMP Markierungsleuchte LED, 3000K, 10W, metallgrau</v>
      </c>
      <c r="C1551" t="str">
        <f t="shared" si="80"/>
        <v>181</v>
      </c>
      <c r="D1551" s="1">
        <v>202.5</v>
      </c>
    </row>
    <row r="1552" spans="1:4" x14ac:dyDescent="0.25">
      <c r="A1552" t="str">
        <f>"STAMPA-4NW6"</f>
        <v>STAMPA-4NW6</v>
      </c>
      <c r="B1552" t="str">
        <f>"5321GR4K STAMP LED, 4000K, 4,5W, graphitgrau"</f>
        <v>5321GR4K STAMP LED, 4000K, 4,5W, graphitgrau</v>
      </c>
      <c r="C1552" t="str">
        <f t="shared" si="80"/>
        <v>181</v>
      </c>
      <c r="D1552" s="1">
        <v>132</v>
      </c>
    </row>
    <row r="1553" spans="1:4" x14ac:dyDescent="0.25">
      <c r="A1553" t="str">
        <f>"STAMPA-4NW7"</f>
        <v>STAMPA-4NW7</v>
      </c>
      <c r="B1553" t="str">
        <f>"5321GM4K STAMP LED, 4000K, 4,5W, metallgrau"</f>
        <v>5321GM4K STAMP LED, 4000K, 4,5W, metallgrau</v>
      </c>
      <c r="C1553" t="str">
        <f t="shared" si="80"/>
        <v>181</v>
      </c>
      <c r="D1553" s="1">
        <v>132</v>
      </c>
    </row>
    <row r="1554" spans="1:4" x14ac:dyDescent="0.25">
      <c r="A1554" t="str">
        <f>"STAMPA-4WW6"</f>
        <v>STAMPA-4WW6</v>
      </c>
      <c r="B1554" t="str">
        <f>"5321GR3K STAMP LED, 3000K, 4,5W, graphitgrau"</f>
        <v>5321GR3K STAMP LED, 3000K, 4,5W, graphitgrau</v>
      </c>
      <c r="C1554" t="str">
        <f t="shared" si="80"/>
        <v>181</v>
      </c>
      <c r="D1554" s="1">
        <v>132</v>
      </c>
    </row>
    <row r="1555" spans="1:4" x14ac:dyDescent="0.25">
      <c r="A1555" t="str">
        <f>"STAMPA-4WW7"</f>
        <v>STAMPA-4WW7</v>
      </c>
      <c r="B1555" t="str">
        <f>"5321GM3K STAMP LED, 3000K, 4,5W, metallgrau"</f>
        <v>5321GM3K STAMP LED, 3000K, 4,5W, metallgrau</v>
      </c>
      <c r="C1555" t="str">
        <f t="shared" si="80"/>
        <v>181</v>
      </c>
      <c r="D1555" s="1">
        <v>132</v>
      </c>
    </row>
    <row r="1556" spans="1:4" x14ac:dyDescent="0.25">
      <c r="A1556" t="str">
        <f>"STAMPE-10NW6"</f>
        <v>STAMPE-10NW6</v>
      </c>
      <c r="B1556" t="str">
        <f>"STAMP Markierungsleuchte LED, 4000K, 10W, Einbau, graphitgrau"</f>
        <v>STAMP Markierungsleuchte LED, 4000K, 10W, Einbau, graphitgrau</v>
      </c>
      <c r="C1556" t="str">
        <f t="shared" si="80"/>
        <v>181</v>
      </c>
      <c r="D1556" s="1">
        <v>245.5</v>
      </c>
    </row>
    <row r="1557" spans="1:4" x14ac:dyDescent="0.25">
      <c r="A1557" t="str">
        <f>"STAMPE-10NW7"</f>
        <v>STAMPE-10NW7</v>
      </c>
      <c r="B1557" t="str">
        <f>"STAMP Markierungsleuchte LED, 4000K, 10W, Einbau, metallgrau"</f>
        <v>STAMP Markierungsleuchte LED, 4000K, 10W, Einbau, metallgrau</v>
      </c>
      <c r="C1557" t="str">
        <f t="shared" si="80"/>
        <v>181</v>
      </c>
      <c r="D1557" s="1">
        <v>245.5</v>
      </c>
    </row>
    <row r="1558" spans="1:4" x14ac:dyDescent="0.25">
      <c r="A1558" t="str">
        <f>"STAMPE-10WW6"</f>
        <v>STAMPE-10WW6</v>
      </c>
      <c r="B1558" t="str">
        <f>"STAMP Markierungsleuchte LED, 3000K, 10W, Einbau, graphitgrau"</f>
        <v>STAMP Markierungsleuchte LED, 3000K, 10W, Einbau, graphitgrau</v>
      </c>
      <c r="C1558" t="str">
        <f t="shared" si="80"/>
        <v>181</v>
      </c>
      <c r="D1558" s="1">
        <v>245.5</v>
      </c>
    </row>
    <row r="1559" spans="1:4" x14ac:dyDescent="0.25">
      <c r="A1559" t="str">
        <f>"STAMPE-10WW7"</f>
        <v>STAMPE-10WW7</v>
      </c>
      <c r="B1559" t="str">
        <f>"STAMP Markierungsleuchte LED, 3000K, 10W, Einbau, metallgrau"</f>
        <v>STAMP Markierungsleuchte LED, 3000K, 10W, Einbau, metallgrau</v>
      </c>
      <c r="C1559" t="str">
        <f t="shared" si="80"/>
        <v>181</v>
      </c>
      <c r="D1559" s="1">
        <v>245.5</v>
      </c>
    </row>
    <row r="1560" spans="1:4" x14ac:dyDescent="0.25">
      <c r="A1560" t="str">
        <f>"STAMPE-4NW6"</f>
        <v>STAMPE-4NW6</v>
      </c>
      <c r="B1560" t="str">
        <f>"STAMP Markierungsleuchte LED, 4000K, 4,5W, Einbau, graphitgrau"</f>
        <v>STAMP Markierungsleuchte LED, 4000K, 4,5W, Einbau, graphitgrau</v>
      </c>
      <c r="C1560" t="str">
        <f t="shared" si="80"/>
        <v>181</v>
      </c>
      <c r="D1560" s="1">
        <v>162.5</v>
      </c>
    </row>
    <row r="1561" spans="1:4" x14ac:dyDescent="0.25">
      <c r="A1561" t="str">
        <f>"STAMPE-4NW7"</f>
        <v>STAMPE-4NW7</v>
      </c>
      <c r="B1561" t="str">
        <f>"STAMP Markierungsleuchte LED, 4000K, 4,5W, Einbau, metallgrau"</f>
        <v>STAMP Markierungsleuchte LED, 4000K, 4,5W, Einbau, metallgrau</v>
      </c>
      <c r="C1561" t="str">
        <f t="shared" si="80"/>
        <v>181</v>
      </c>
      <c r="D1561" s="1">
        <v>162.5</v>
      </c>
    </row>
    <row r="1562" spans="1:4" x14ac:dyDescent="0.25">
      <c r="A1562" t="str">
        <f>"STAMPE-4WW6"</f>
        <v>STAMPE-4WW6</v>
      </c>
      <c r="B1562" t="str">
        <f>"STAMP Markierungsleuchte LED, 3000K, 4,5W, Einbau, graphitgrau"</f>
        <v>STAMP Markierungsleuchte LED, 3000K, 4,5W, Einbau, graphitgrau</v>
      </c>
      <c r="C1562" t="str">
        <f t="shared" si="80"/>
        <v>181</v>
      </c>
      <c r="D1562" s="1">
        <v>162.5</v>
      </c>
    </row>
    <row r="1563" spans="1:4" x14ac:dyDescent="0.25">
      <c r="A1563" t="str">
        <f>"STAMPE-4WW7"</f>
        <v>STAMPE-4WW7</v>
      </c>
      <c r="B1563" t="str">
        <f>"STAMP Markierungsleuchte LED, 3000K, 4,5W, Einbau, metallgrau"</f>
        <v>STAMP Markierungsleuchte LED, 3000K, 4,5W, Einbau, metallgrau</v>
      </c>
      <c r="C1563" t="str">
        <f t="shared" si="80"/>
        <v>181</v>
      </c>
      <c r="D1563" s="1">
        <v>162.5</v>
      </c>
    </row>
    <row r="1564" spans="1:4" x14ac:dyDescent="0.25">
      <c r="A1564" t="str">
        <f>"STAMP1-3NW6"</f>
        <v>STAMP1-3NW6</v>
      </c>
      <c r="B1564" t="str">
        <f>"5335GR4K STAMP LED, 4000K, 3W, 1 Lichtaustritt, graphitgrau"</f>
        <v>5335GR4K STAMP LED, 4000K, 3W, 1 Lichtaustritt, graphitgrau</v>
      </c>
      <c r="C1564" t="str">
        <f t="shared" si="80"/>
        <v>181</v>
      </c>
      <c r="D1564" s="1">
        <v>147</v>
      </c>
    </row>
    <row r="1565" spans="1:4" x14ac:dyDescent="0.25">
      <c r="A1565" t="str">
        <f>"STAMP1-3NW7"</f>
        <v>STAMP1-3NW7</v>
      </c>
      <c r="B1565" t="str">
        <f>"5335GM4K STAMP LED, 4000K, 3W, 1 Lichtaustritt, metallgrau"</f>
        <v>5335GM4K STAMP LED, 4000K, 3W, 1 Lichtaustritt, metallgrau</v>
      </c>
      <c r="C1565" t="str">
        <f t="shared" si="80"/>
        <v>181</v>
      </c>
      <c r="D1565" s="1">
        <v>147</v>
      </c>
    </row>
    <row r="1566" spans="1:4" x14ac:dyDescent="0.25">
      <c r="A1566" t="str">
        <f>"STAMP1-3WW6"</f>
        <v>STAMP1-3WW6</v>
      </c>
      <c r="B1566" t="str">
        <f>"5335GR3K STAMP LED, 3000K, 3W, 1 Lichtaustritt, graphitgrau"</f>
        <v>5335GR3K STAMP LED, 3000K, 3W, 1 Lichtaustritt, graphitgrau</v>
      </c>
      <c r="C1566" t="str">
        <f t="shared" si="80"/>
        <v>181</v>
      </c>
      <c r="D1566" s="1">
        <v>147</v>
      </c>
    </row>
    <row r="1567" spans="1:4" x14ac:dyDescent="0.25">
      <c r="A1567" t="str">
        <f>"STAMP1-3WW7"</f>
        <v>STAMP1-3WW7</v>
      </c>
      <c r="B1567" t="str">
        <f>"5335GM3K STAMP LED, 3000K, 3W, 1 Lichtaustritt, metallgrau"</f>
        <v>5335GM3K STAMP LED, 3000K, 3W, 1 Lichtaustritt, metallgrau</v>
      </c>
      <c r="C1567" t="str">
        <f t="shared" si="80"/>
        <v>181</v>
      </c>
      <c r="D1567" s="1">
        <v>147</v>
      </c>
    </row>
    <row r="1568" spans="1:4" x14ac:dyDescent="0.25">
      <c r="A1568" t="str">
        <f>"STAMP2-6NW6"</f>
        <v>STAMP2-6NW6</v>
      </c>
      <c r="B1568" t="str">
        <f>"5336GR4K STAMP LED, 4000K, 2x3W, 2 Lichtaustritte, graphitgrau"</f>
        <v>5336GR4K STAMP LED, 4000K, 2x3W, 2 Lichtaustritte, graphitgrau</v>
      </c>
      <c r="C1568" t="str">
        <f t="shared" si="80"/>
        <v>181</v>
      </c>
      <c r="D1568" s="1">
        <v>178</v>
      </c>
    </row>
    <row r="1569" spans="1:4" x14ac:dyDescent="0.25">
      <c r="A1569" t="str">
        <f>"STAMP2-6NW7"</f>
        <v>STAMP2-6NW7</v>
      </c>
      <c r="B1569" t="str">
        <f>"5336GM4K STAMP LED, 4000K, 2x3W, 2 Lichtaustritte, metallgrau"</f>
        <v>5336GM4K STAMP LED, 4000K, 2x3W, 2 Lichtaustritte, metallgrau</v>
      </c>
      <c r="C1569" t="str">
        <f t="shared" si="80"/>
        <v>181</v>
      </c>
      <c r="D1569" s="1">
        <v>178</v>
      </c>
    </row>
    <row r="1570" spans="1:4" x14ac:dyDescent="0.25">
      <c r="A1570" t="str">
        <f>"STAMP2-6WW6"</f>
        <v>STAMP2-6WW6</v>
      </c>
      <c r="B1570" t="str">
        <f>"5336GR3K STAMP LED, 3000K, 2x3W, 2 Lichtaustritte, graphitgrau"</f>
        <v>5336GR3K STAMP LED, 3000K, 2x3W, 2 Lichtaustritte, graphitgrau</v>
      </c>
      <c r="C1570" t="str">
        <f t="shared" si="80"/>
        <v>181</v>
      </c>
      <c r="D1570" s="1">
        <v>178</v>
      </c>
    </row>
    <row r="1571" spans="1:4" x14ac:dyDescent="0.25">
      <c r="A1571" t="str">
        <f>"STAMP2-6WW7"</f>
        <v>STAMP2-6WW7</v>
      </c>
      <c r="B1571" t="str">
        <f>"5336GM3K STAMP LED, 3000K, 2x3W, 2 Lichtaustritte, metallgrau"</f>
        <v>5336GM3K STAMP LED, 3000K, 2x3W, 2 Lichtaustritte, metallgrau</v>
      </c>
      <c r="C1571" t="str">
        <f t="shared" si="80"/>
        <v>181</v>
      </c>
      <c r="D1571" s="1">
        <v>178</v>
      </c>
    </row>
    <row r="1572" spans="1:4" x14ac:dyDescent="0.25">
      <c r="A1572" t="str">
        <f>"STAND-8NW6"</f>
        <v>STAND-8NW6</v>
      </c>
      <c r="B1572" t="str">
        <f>"5526GR4K STANDING Alu-Poller, LED, 8W, H=495 mm, 4000K, graphitgrau"</f>
        <v>5526GR4K STANDING Alu-Poller, LED, 8W, H=495 mm, 4000K, graphitgrau</v>
      </c>
      <c r="C1572" t="str">
        <f>"219"</f>
        <v>219</v>
      </c>
      <c r="D1572" s="1">
        <v>300</v>
      </c>
    </row>
    <row r="1573" spans="1:4" x14ac:dyDescent="0.25">
      <c r="A1573" t="str">
        <f>"STAND-8NW7"</f>
        <v>STAND-8NW7</v>
      </c>
      <c r="B1573" t="str">
        <f>"5526GM4K STANDING Alu-Poller, LED, 8W, H=495 mm, 4000K, metallgrau"</f>
        <v>5526GM4K STANDING Alu-Poller, LED, 8W, H=495 mm, 4000K, metallgrau</v>
      </c>
      <c r="C1573" t="str">
        <f>"219"</f>
        <v>219</v>
      </c>
      <c r="D1573" s="1">
        <v>300</v>
      </c>
    </row>
    <row r="1574" spans="1:4" x14ac:dyDescent="0.25">
      <c r="A1574" t="str">
        <f>"STAND-8WW6"</f>
        <v>STAND-8WW6</v>
      </c>
      <c r="B1574" t="str">
        <f>"5526GR3K STANDING Alu-Poller, LED, 8W, H=495 mm, 3000K, graphitgrau"</f>
        <v>5526GR3K STANDING Alu-Poller, LED, 8W, H=495 mm, 3000K, graphitgrau</v>
      </c>
      <c r="C1574" t="str">
        <f>"219"</f>
        <v>219</v>
      </c>
      <c r="D1574" s="1">
        <v>300</v>
      </c>
    </row>
    <row r="1575" spans="1:4" x14ac:dyDescent="0.25">
      <c r="A1575" t="str">
        <f>"STAND-8WW7"</f>
        <v>STAND-8WW7</v>
      </c>
      <c r="B1575" t="str">
        <f>"5526GM3K STANDING Alu-Poller, LED, 8W, H=495 mm, 3000K, metallgrau"</f>
        <v>5526GM3K STANDING Alu-Poller, LED, 8W, H=495 mm, 3000K, metallgrau</v>
      </c>
      <c r="C1575" t="str">
        <f>"219"</f>
        <v>219</v>
      </c>
      <c r="D1575" s="1">
        <v>300</v>
      </c>
    </row>
    <row r="1576" spans="1:4" x14ac:dyDescent="0.25">
      <c r="A1576" t="str">
        <f>"START-47NW1D"</f>
        <v>START-47NW1D</v>
      </c>
      <c r="B1576" t="str">
        <f>"START, LED-Stehleuchte 27W/12W, 4000K, 100-240V, CRI80, URG19, IP20, DIM, weiss"</f>
        <v>START, LED-Stehleuchte 27W/12W, 4000K, 100-240V, CRI80, URG19, IP20, DIM, weiss</v>
      </c>
      <c r="C1576" t="str">
        <f>"173"</f>
        <v>173</v>
      </c>
      <c r="D1576" s="1">
        <v>797.5</v>
      </c>
    </row>
    <row r="1577" spans="1:4" x14ac:dyDescent="0.25">
      <c r="A1577" t="str">
        <f>"START-47NW7D"</f>
        <v>START-47NW7D</v>
      </c>
      <c r="B1577" t="str">
        <f>"START, LED-Stehleuchte 27W/12W, 4000K, 100-240V, CRI80, URG19, IP20, DIM, grau"</f>
        <v>START, LED-Stehleuchte 27W/12W, 4000K, 100-240V, CRI80, URG19, IP20, DIM, grau</v>
      </c>
      <c r="C1577" t="str">
        <f>"173"</f>
        <v>173</v>
      </c>
      <c r="D1577" s="1">
        <v>797.5</v>
      </c>
    </row>
    <row r="1578" spans="1:4" x14ac:dyDescent="0.25">
      <c r="A1578" t="str">
        <f>"SUDR3-140SW1D"</f>
        <v>SUDR3-140SW1D</v>
      </c>
      <c r="B1578" t="str">
        <f>"SUDR3, Ringförmige Decken-/Pendelleuchte, LED 140W, 2700K, weiß"</f>
        <v>SUDR3, Ringförmige Decken-/Pendelleuchte, LED 140W, 2700K, weiß</v>
      </c>
      <c r="C1578" t="str">
        <f t="shared" ref="C1578:C1593" si="81">"131"</f>
        <v>131</v>
      </c>
      <c r="D1578" s="1">
        <v>990</v>
      </c>
    </row>
    <row r="1579" spans="1:4" x14ac:dyDescent="0.25">
      <c r="A1579" t="str">
        <f>"SUDR3-140SW4D"</f>
        <v>SUDR3-140SW4D</v>
      </c>
      <c r="B1579" t="str">
        <f>"SUDR3, Ringförmige Decken-/Pendelleuchte, LED 140W, 2700K, messing-geb."</f>
        <v>SUDR3, Ringförmige Decken-/Pendelleuchte, LED 140W, 2700K, messing-geb.</v>
      </c>
      <c r="C1579" t="str">
        <f t="shared" si="81"/>
        <v>131</v>
      </c>
      <c r="D1579" s="1">
        <v>1250</v>
      </c>
    </row>
    <row r="1580" spans="1:4" x14ac:dyDescent="0.25">
      <c r="A1580" t="str">
        <f>"SUDR3-140WW1D"</f>
        <v>SUDR3-140WW1D</v>
      </c>
      <c r="B1580" t="str">
        <f>"SUDR 3, Ringförmige Decken-/Pendelleuchte, LED 140W, 3000K, weiß"</f>
        <v>SUDR 3, Ringförmige Decken-/Pendelleuchte, LED 140W, 3000K, weiß</v>
      </c>
      <c r="C1580" t="str">
        <f t="shared" si="81"/>
        <v>131</v>
      </c>
      <c r="D1580" s="1">
        <v>990</v>
      </c>
    </row>
    <row r="1581" spans="1:4" x14ac:dyDescent="0.25">
      <c r="A1581" t="str">
        <f>"SUDR3-140WW4D"</f>
        <v>SUDR3-140WW4D</v>
      </c>
      <c r="B1581" t="str">
        <f>"SUDR 3, Ringförmige Decken-/Pendelleuchte, LED 140W, 3000K, messing-geb"</f>
        <v>SUDR 3, Ringförmige Decken-/Pendelleuchte, LED 140W, 3000K, messing-geb</v>
      </c>
      <c r="C1581" t="str">
        <f t="shared" si="81"/>
        <v>131</v>
      </c>
      <c r="D1581" s="1">
        <v>1250</v>
      </c>
    </row>
    <row r="1582" spans="1:4" x14ac:dyDescent="0.25">
      <c r="A1582" t="str">
        <f>"SUDR3-92SW1D"</f>
        <v>SUDR3-92SW1D</v>
      </c>
      <c r="B1582" t="str">
        <f>"SUDR3, Ringförmige Decken-/Pendelleuchte, LED 92W, 2700K, weiß"</f>
        <v>SUDR3, Ringförmige Decken-/Pendelleuchte, LED 92W, 2700K, weiß</v>
      </c>
      <c r="C1582" t="str">
        <f t="shared" si="81"/>
        <v>131</v>
      </c>
      <c r="D1582" s="1">
        <v>810</v>
      </c>
    </row>
    <row r="1583" spans="1:4" x14ac:dyDescent="0.25">
      <c r="A1583" t="str">
        <f>"SUDR3-92SW4D"</f>
        <v>SUDR3-92SW4D</v>
      </c>
      <c r="B1583" t="str">
        <f>"SUDR3, Ringförmige Decken-/Pendelleuchte, LED 92W, 2700K, messing-geb."</f>
        <v>SUDR3, Ringförmige Decken-/Pendelleuchte, LED 92W, 2700K, messing-geb.</v>
      </c>
      <c r="C1583" t="str">
        <f t="shared" si="81"/>
        <v>131</v>
      </c>
      <c r="D1583" s="1">
        <v>996</v>
      </c>
    </row>
    <row r="1584" spans="1:4" x14ac:dyDescent="0.25">
      <c r="A1584" t="str">
        <f>"SUDR3-92WW1D"</f>
        <v>SUDR3-92WW1D</v>
      </c>
      <c r="B1584" t="str">
        <f>"SUDR 3, Ringförmige Decken-/Pendelleuchte, LED 92W, 3000K, weiß"</f>
        <v>SUDR 3, Ringförmige Decken-/Pendelleuchte, LED 92W, 3000K, weiß</v>
      </c>
      <c r="C1584" t="str">
        <f t="shared" si="81"/>
        <v>131</v>
      </c>
      <c r="D1584" s="1">
        <v>810</v>
      </c>
    </row>
    <row r="1585" spans="1:4" x14ac:dyDescent="0.25">
      <c r="A1585" t="str">
        <f>"SUDR3-92WW4D"</f>
        <v>SUDR3-92WW4D</v>
      </c>
      <c r="B1585" t="str">
        <f>"SUDR 3, Ringförmige Decken-/Pendelleuchte, LED 92W, 3000K,messing-geb."</f>
        <v>SUDR 3, Ringförmige Decken-/Pendelleuchte, LED 92W, 3000K,messing-geb.</v>
      </c>
      <c r="C1585" t="str">
        <f t="shared" si="81"/>
        <v>131</v>
      </c>
      <c r="D1585" s="1">
        <v>996</v>
      </c>
    </row>
    <row r="1586" spans="1:4" x14ac:dyDescent="0.25">
      <c r="A1586" t="str">
        <f>"SUDR-50SW1D"</f>
        <v>SUDR-50SW1D</v>
      </c>
      <c r="B1586" t="str">
        <f>"SUDR, Ringförmige Decken-/Pendelleuchte, LED 57W, 3000K,weiß"</f>
        <v>SUDR, Ringförmige Decken-/Pendelleuchte, LED 57W, 3000K,weiß</v>
      </c>
      <c r="C1586" t="str">
        <f t="shared" si="81"/>
        <v>131</v>
      </c>
      <c r="D1586" s="1">
        <v>390</v>
      </c>
    </row>
    <row r="1587" spans="1:4" x14ac:dyDescent="0.25">
      <c r="A1587" t="str">
        <f>"SUDR-50SW4D"</f>
        <v>SUDR-50SW4D</v>
      </c>
      <c r="B1587" t="str">
        <f>"SUDR, Ringförmige Decken-/Pendelleuchte, LED 57W, 3000K,messing-geb."</f>
        <v>SUDR, Ringförmige Decken-/Pendelleuchte, LED 57W, 3000K,messing-geb.</v>
      </c>
      <c r="C1587" t="str">
        <f t="shared" si="81"/>
        <v>131</v>
      </c>
      <c r="D1587" s="1">
        <v>440</v>
      </c>
    </row>
    <row r="1588" spans="1:4" x14ac:dyDescent="0.25">
      <c r="A1588" t="str">
        <f>"SUDR-50WW1D"</f>
        <v>SUDR-50WW1D</v>
      </c>
      <c r="B1588" t="str">
        <f>"SUDR, Ringförmige Decken-/Pendelleuchte, LED 57W, 3000K,weiß"</f>
        <v>SUDR, Ringförmige Decken-/Pendelleuchte, LED 57W, 3000K,weiß</v>
      </c>
      <c r="C1588" t="str">
        <f t="shared" si="81"/>
        <v>131</v>
      </c>
      <c r="D1588" s="1">
        <v>390</v>
      </c>
    </row>
    <row r="1589" spans="1:4" x14ac:dyDescent="0.25">
      <c r="A1589" t="str">
        <f>"SUDR-50WW4D"</f>
        <v>SUDR-50WW4D</v>
      </c>
      <c r="B1589" t="str">
        <f>"SUDR, Ringförmige Decken-/Pendelleuchte, LED 57W, 3000K,messing-geb."</f>
        <v>SUDR, Ringförmige Decken-/Pendelleuchte, LED 57W, 3000K,messing-geb.</v>
      </c>
      <c r="C1589" t="str">
        <f t="shared" si="81"/>
        <v>131</v>
      </c>
      <c r="D1589" s="1">
        <v>440</v>
      </c>
    </row>
    <row r="1590" spans="1:4" x14ac:dyDescent="0.25">
      <c r="A1590" t="str">
        <f>"SUDR-92SW1D"</f>
        <v>SUDR-92SW1D</v>
      </c>
      <c r="B1590" t="str">
        <f>"SUDR, Ringförmige Decken-/Pendelleuchte, LED 92W, 3000K,weiß"</f>
        <v>SUDR, Ringförmige Decken-/Pendelleuchte, LED 92W, 3000K,weiß</v>
      </c>
      <c r="C1590" t="str">
        <f t="shared" si="81"/>
        <v>131</v>
      </c>
      <c r="D1590" s="1">
        <v>750</v>
      </c>
    </row>
    <row r="1591" spans="1:4" x14ac:dyDescent="0.25">
      <c r="A1591" t="str">
        <f>"SUDR-92SW4D"</f>
        <v>SUDR-92SW4D</v>
      </c>
      <c r="B1591" t="str">
        <f>"SUDR, Ringförmige Decken-/Pendelleuchte, LED 92W, 3000K,messing-geb."</f>
        <v>SUDR, Ringförmige Decken-/Pendelleuchte, LED 92W, 3000K,messing-geb.</v>
      </c>
      <c r="C1591" t="str">
        <f t="shared" si="81"/>
        <v>131</v>
      </c>
      <c r="D1591" s="1">
        <v>900</v>
      </c>
    </row>
    <row r="1592" spans="1:4" x14ac:dyDescent="0.25">
      <c r="A1592" t="str">
        <f>"SUDR-92WW1D"</f>
        <v>SUDR-92WW1D</v>
      </c>
      <c r="B1592" t="str">
        <f>"SUDR, Ringförmige Decken-/Pendelleuchte, LED 92W, 3000K,weiß"</f>
        <v>SUDR, Ringförmige Decken-/Pendelleuchte, LED 92W, 3000K,weiß</v>
      </c>
      <c r="C1592" t="str">
        <f t="shared" si="81"/>
        <v>131</v>
      </c>
      <c r="D1592" s="1">
        <v>750</v>
      </c>
    </row>
    <row r="1593" spans="1:4" x14ac:dyDescent="0.25">
      <c r="A1593" t="str">
        <f>"SUDR-92WW4D"</f>
        <v>SUDR-92WW4D</v>
      </c>
      <c r="B1593" t="str">
        <f>"SUDR, Ringförmige Decken-/Pendelleuchte, LED 92W, 3000K,messing-geb."</f>
        <v>SUDR, Ringförmige Decken-/Pendelleuchte, LED 92W, 3000K,messing-geb.</v>
      </c>
      <c r="C1593" t="str">
        <f t="shared" si="81"/>
        <v>131</v>
      </c>
      <c r="D1593" s="1">
        <v>900</v>
      </c>
    </row>
    <row r="1594" spans="1:4" x14ac:dyDescent="0.25">
      <c r="A1594" t="str">
        <f>"SUN-36NW1"</f>
        <v>SUN-36NW1</v>
      </c>
      <c r="B1594" t="str">
        <f>"LED Deckenleuchte 36W, L=1246mm, 4000K, weiß"</f>
        <v>LED Deckenleuchte 36W, L=1246mm, 4000K, weiß</v>
      </c>
      <c r="C1594" t="str">
        <f>"171"</f>
        <v>171</v>
      </c>
      <c r="D1594" s="1">
        <v>310</v>
      </c>
    </row>
    <row r="1595" spans="1:4" x14ac:dyDescent="0.25">
      <c r="A1595" t="str">
        <f>"SUN-36WW1"</f>
        <v>SUN-36WW1</v>
      </c>
      <c r="B1595" t="str">
        <f>"LED Deckenleuchte 36W, L=1246mm, 3000K, weiß"</f>
        <v>LED Deckenleuchte 36W, L=1246mm, 3000K, weiß</v>
      </c>
      <c r="C1595" t="str">
        <f>"171"</f>
        <v>171</v>
      </c>
      <c r="D1595" s="1">
        <v>310</v>
      </c>
    </row>
    <row r="1596" spans="1:4" x14ac:dyDescent="0.25">
      <c r="A1596" t="str">
        <f>"SUN-44NW1"</f>
        <v>SUN-44NW1</v>
      </c>
      <c r="B1596" t="str">
        <f>"LED Deckenleuchte 44W, L=1545mm, 4000K, weiß"</f>
        <v>LED Deckenleuchte 44W, L=1545mm, 4000K, weiß</v>
      </c>
      <c r="C1596" t="str">
        <f>"171"</f>
        <v>171</v>
      </c>
      <c r="D1596" s="1">
        <v>352.5</v>
      </c>
    </row>
    <row r="1597" spans="1:4" x14ac:dyDescent="0.25">
      <c r="A1597" t="str">
        <f>"SUN-44WW1"</f>
        <v>SUN-44WW1</v>
      </c>
      <c r="B1597" t="str">
        <f>"LED Deckenleuchte 44W, L=1545mm, 3000K, weiß"</f>
        <v>LED Deckenleuchte 44W, L=1545mm, 3000K, weiß</v>
      </c>
      <c r="C1597" t="str">
        <f>"171"</f>
        <v>171</v>
      </c>
      <c r="D1597" s="1">
        <v>352.5</v>
      </c>
    </row>
    <row r="1598" spans="1:4" x14ac:dyDescent="0.25">
      <c r="A1598" t="str">
        <f>"S-1111"</f>
        <v>S-1111</v>
      </c>
      <c r="B1598" t="str">
        <f>"Stromschienenstrahler für QR-111, max. 100W, Strahler und Adapter weiß"</f>
        <v>Stromschienenstrahler für QR-111, max. 100W, Strahler und Adapter weiß</v>
      </c>
      <c r="C1598" t="str">
        <f>"25"</f>
        <v>25</v>
      </c>
      <c r="D1598" s="1">
        <v>130</v>
      </c>
    </row>
    <row r="1599" spans="1:4" x14ac:dyDescent="0.25">
      <c r="A1599" t="str">
        <f>"S-1112"</f>
        <v>S-1112</v>
      </c>
      <c r="B1599" t="str">
        <f>"Stromschienenstrahler für QR-111, max. 100W, Strahler und Adapter schwarz"</f>
        <v>Stromschienenstrahler für QR-111, max. 100W, Strahler und Adapter schwarz</v>
      </c>
      <c r="C1599" t="str">
        <f>"25"</f>
        <v>25</v>
      </c>
      <c r="D1599" s="1">
        <v>130</v>
      </c>
    </row>
    <row r="1600" spans="1:4" x14ac:dyDescent="0.25">
      <c r="A1600" t="str">
        <f>"S-1117"</f>
        <v>S-1117</v>
      </c>
      <c r="B1600" t="str">
        <f>"Stromschienenstrahler für QR-111, max. 100W, Strahler alugrau, Adapter schwarz"</f>
        <v>Stromschienenstrahler für QR-111, max. 100W, Strahler alugrau, Adapter schwarz</v>
      </c>
      <c r="C1600" t="str">
        <f>"25"</f>
        <v>25</v>
      </c>
      <c r="D1600" s="1">
        <v>130</v>
      </c>
    </row>
    <row r="1601" spans="1:4" x14ac:dyDescent="0.25">
      <c r="A1601" t="str">
        <f>"S-1117S"</f>
        <v>S-1117S</v>
      </c>
      <c r="B1601" t="str">
        <f>"Stromschienenstrahler für QR-111, max.100W, AR111 15W,Strahler u. Adapter alugr."</f>
        <v>Stromschienenstrahler für QR-111, max.100W, AR111 15W,Strahler u. Adapter alugr.</v>
      </c>
      <c r="C1601" t="str">
        <f>"25"</f>
        <v>25</v>
      </c>
      <c r="D1601" s="1">
        <v>142.5</v>
      </c>
    </row>
    <row r="1602" spans="1:4" x14ac:dyDescent="0.25">
      <c r="A1602" t="str">
        <f>"TRG-060"</f>
        <v>TRG-060</v>
      </c>
      <c r="B1602" t="str">
        <f>"Elektronischer Trafo 60 VA"</f>
        <v>Elektronischer Trafo 60 VA</v>
      </c>
      <c r="C1602" t="str">
        <f>"243"</f>
        <v>243</v>
      </c>
      <c r="D1602" s="1">
        <v>9.5</v>
      </c>
    </row>
    <row r="1603" spans="1:4" x14ac:dyDescent="0.25">
      <c r="A1603" t="str">
        <f>"TRG-105"</f>
        <v>TRG-105</v>
      </c>
      <c r="B1603" t="str">
        <f>"Elektronischer Trafo 105 VA"</f>
        <v>Elektronischer Trafo 105 VA</v>
      </c>
      <c r="C1603" t="str">
        <f>"243"</f>
        <v>243</v>
      </c>
      <c r="D1603" s="1">
        <v>13.75</v>
      </c>
    </row>
    <row r="1604" spans="1:4" x14ac:dyDescent="0.25">
      <c r="A1604" t="str">
        <f>"TRLCU-180W24"</f>
        <v>TRLCU-180W24</v>
      </c>
      <c r="B1604" t="str">
        <f>"Elektronisches Netzteil für LED´s, 180W, 24V IP20"</f>
        <v>Elektronisches Netzteil für LED´s, 180W, 24V IP20</v>
      </c>
      <c r="C1604" t="str">
        <f>"241"</f>
        <v>241</v>
      </c>
      <c r="D1604" s="1">
        <v>132.5</v>
      </c>
    </row>
    <row r="1605" spans="1:4" x14ac:dyDescent="0.25">
      <c r="A1605" t="str">
        <f>"TRLCU-35W24MM"</f>
        <v>TRLCU-35W24MM</v>
      </c>
      <c r="B1605" t="str">
        <f>"Elektronisches Netzteil für LED, LCU 35W 24V SR TOP"</f>
        <v>Elektronisches Netzteil für LED, LCU 35W 24V SR TOP</v>
      </c>
      <c r="C1605" t="str">
        <f>"241"</f>
        <v>241</v>
      </c>
      <c r="D1605" s="1">
        <v>44.5</v>
      </c>
    </row>
    <row r="1606" spans="1:4" x14ac:dyDescent="0.25">
      <c r="A1606" t="str">
        <f>"TRLCU-96W24"</f>
        <v>TRLCU-96W24</v>
      </c>
      <c r="B1606" t="str">
        <f>"Elektronisches Netzteil für LED, LCU 96W 24V SR TOP"</f>
        <v>Elektronisches Netzteil für LED, LCU 96W 24V SR TOP</v>
      </c>
      <c r="C1606" t="str">
        <f>"241"</f>
        <v>241</v>
      </c>
      <c r="D1606" s="1">
        <v>81.75</v>
      </c>
    </row>
    <row r="1607" spans="1:4" x14ac:dyDescent="0.25">
      <c r="A1607" t="str">
        <f>"TRL-LCU150W48V"</f>
        <v>TRL-LCU150W48V</v>
      </c>
      <c r="B1607" t="str">
        <f>"LED Netzteil 48V, 150W mit Zugentlastung"</f>
        <v>LED Netzteil 48V, 150W mit Zugentlastung</v>
      </c>
      <c r="C1607" t="str">
        <f>"242"</f>
        <v>242</v>
      </c>
      <c r="D1607" s="1">
        <v>140</v>
      </c>
    </row>
    <row r="1608" spans="1:4" x14ac:dyDescent="0.25">
      <c r="A1608" t="str">
        <f>"TRL-LCU150W48VDD"</f>
        <v>TRL-LCU150W48VDD</v>
      </c>
      <c r="B1608" t="str">
        <f>"LED Netzteil 48V, 150W, DALI, mit Zugentlastung"</f>
        <v>LED Netzteil 48V, 150W, DALI, mit Zugentlastung</v>
      </c>
      <c r="C1608" t="str">
        <f>"242"</f>
        <v>242</v>
      </c>
      <c r="D1608" s="1">
        <v>168.5</v>
      </c>
    </row>
    <row r="1609" spans="1:4" x14ac:dyDescent="0.25">
      <c r="A1609" t="str">
        <f>"TRL-LCU75W48V"</f>
        <v>TRL-LCU75W48V</v>
      </c>
      <c r="B1609" t="str">
        <f>"LED Netzteil 48V, 75W mit Zugentlastung"</f>
        <v>LED Netzteil 48V, 75W mit Zugentlastung</v>
      </c>
      <c r="C1609" t="str">
        <f>"242"</f>
        <v>242</v>
      </c>
      <c r="D1609" s="1">
        <v>107.5</v>
      </c>
    </row>
    <row r="1610" spans="1:4" x14ac:dyDescent="0.25">
      <c r="A1610" t="str">
        <f>"TRL-LCU75W48VDD"</f>
        <v>TRL-LCU75W48VDD</v>
      </c>
      <c r="B1610" t="str">
        <f>"LED Netzteil 48V, 75W, DALI mit Zugentlastung"</f>
        <v>LED Netzteil 48V, 75W, DALI mit Zugentlastung</v>
      </c>
      <c r="C1610" t="str">
        <f>"242"</f>
        <v>242</v>
      </c>
      <c r="D1610" s="1">
        <v>135</v>
      </c>
    </row>
    <row r="1611" spans="1:4" x14ac:dyDescent="0.25">
      <c r="A1611" t="str">
        <f>"TRLMA-50WDD"</f>
        <v>TRLMA-50WDD</v>
      </c>
      <c r="B1611" t="str">
        <f>"Elektronisches Multi-Watt Vorschaltgerät, dimmbar, für LED´s122413"</f>
        <v>Elektronisches Multi-Watt Vorschaltgerät, dimmbar, für LED´s122413</v>
      </c>
      <c r="C1611" t="str">
        <f>"240"</f>
        <v>240</v>
      </c>
      <c r="D1611" s="1">
        <v>90</v>
      </c>
    </row>
    <row r="1612" spans="1:4" x14ac:dyDescent="0.25">
      <c r="A1612" t="str">
        <f>"TRLMA-55W"</f>
        <v>TRLMA-55W</v>
      </c>
      <c r="B1612" t="str">
        <f>"Elektronisches Multi-Watt Vorschaltgerät, dimmbar, für LED´s 122415"</f>
        <v>Elektronisches Multi-Watt Vorschaltgerät, dimmbar, für LED´s 122415</v>
      </c>
      <c r="C1612" t="str">
        <f>"240"</f>
        <v>240</v>
      </c>
      <c r="D1612" s="1">
        <v>85</v>
      </c>
    </row>
    <row r="1613" spans="1:4" x14ac:dyDescent="0.25">
      <c r="A1613" t="str">
        <f>"TRLMA-55WDD"</f>
        <v>TRLMA-55WDD</v>
      </c>
      <c r="B1613" t="str">
        <f>"Elektronisches Multi-Watt Vorschaltgerät, dimmbar, für LED´s 122417"</f>
        <v>Elektronisches Multi-Watt Vorschaltgerät, dimmbar, für LED´s 122417</v>
      </c>
      <c r="C1613" t="str">
        <f>"240"</f>
        <v>240</v>
      </c>
      <c r="D1613" s="1">
        <v>87.5</v>
      </c>
    </row>
    <row r="1614" spans="1:4" x14ac:dyDescent="0.25">
      <c r="A1614" t="str">
        <f>"TRLMN-32WDD"</f>
        <v>TRLMN-32WDD</v>
      </c>
      <c r="B1614" t="str">
        <f>"Elektronisches Multi-Watt Vorschaltgerät, dimmbar, für LED´s"</f>
        <v>Elektronisches Multi-Watt Vorschaltgerät, dimmbar, für LED´s</v>
      </c>
      <c r="C1614" t="str">
        <f>"240"</f>
        <v>240</v>
      </c>
      <c r="D1614" s="1">
        <v>55</v>
      </c>
    </row>
    <row r="1615" spans="1:4" x14ac:dyDescent="0.25">
      <c r="A1615" t="str">
        <f>"TRLN-150W24"</f>
        <v>TRLN-150W24</v>
      </c>
      <c r="B1615" t="str">
        <f>"Elektronisches Vorschaltgerät für LED's, 150W, 24V"</f>
        <v>Elektronisches Vorschaltgerät für LED's, 150W, 24V</v>
      </c>
      <c r="C1615" t="str">
        <f>"241"</f>
        <v>241</v>
      </c>
      <c r="D1615" s="1">
        <v>127.5</v>
      </c>
    </row>
    <row r="1616" spans="1:4" x14ac:dyDescent="0.25">
      <c r="A1616" t="str">
        <f>"TRLN-20WDD"</f>
        <v>TRLN-20WDD</v>
      </c>
      <c r="B1616" t="str">
        <f>"Multi-Watt Vorschaltgerät, DALI dimmbar, für LED"</f>
        <v>Multi-Watt Vorschaltgerät, DALI dimmbar, für LED</v>
      </c>
      <c r="C1616" t="str">
        <f>"239"</f>
        <v>239</v>
      </c>
      <c r="D1616" s="1">
        <v>47.5</v>
      </c>
    </row>
    <row r="1617" spans="1:4" x14ac:dyDescent="0.25">
      <c r="A1617" t="str">
        <f>"TRLN-50W24"</f>
        <v>TRLN-50W24</v>
      </c>
      <c r="B1617" t="str">
        <f>"Elektronisches Vorschaltgerät für LED's, 50W, 24V"</f>
        <v>Elektronisches Vorschaltgerät für LED's, 50W, 24V</v>
      </c>
      <c r="C1617" t="str">
        <f>"241"</f>
        <v>241</v>
      </c>
      <c r="D1617" s="1">
        <v>67.5</v>
      </c>
    </row>
    <row r="1618" spans="1:4" x14ac:dyDescent="0.25">
      <c r="A1618" t="str">
        <f>"TRLN-70W24"</f>
        <v>TRLN-70W24</v>
      </c>
      <c r="B1618" t="str">
        <f>"Elektronisches Vorschaltgerät für LED's, 70W, 24V"</f>
        <v>Elektronisches Vorschaltgerät für LED's, 70W, 24V</v>
      </c>
      <c r="C1618" t="str">
        <f>"241"</f>
        <v>241</v>
      </c>
      <c r="D1618" s="1">
        <v>85</v>
      </c>
    </row>
    <row r="1619" spans="1:4" x14ac:dyDescent="0.25">
      <c r="A1619" t="str">
        <f>"TRL-OTDALI"</f>
        <v>TRL-OTDALI</v>
      </c>
      <c r="B1619" t="str">
        <f>"Osram, Optotronic OT DALI Dim, 10-24V, 120W"</f>
        <v>Osram, Optotronic OT DALI Dim, 10-24V, 120W</v>
      </c>
      <c r="C1619" t="str">
        <f>"242"</f>
        <v>242</v>
      </c>
      <c r="D1619" s="1">
        <v>72.5</v>
      </c>
    </row>
    <row r="1620" spans="1:4" x14ac:dyDescent="0.25">
      <c r="A1620" t="str">
        <f>"TRL-OTDIM"</f>
        <v>TRL-OTDIM</v>
      </c>
      <c r="B1620" t="str">
        <f>"Osram, Optotronic OT Dim, 10-24V, 120W"</f>
        <v>Osram, Optotronic OT Dim, 10-24V, 120W</v>
      </c>
      <c r="C1620" t="str">
        <f>"242"</f>
        <v>242</v>
      </c>
      <c r="D1620" s="1">
        <v>56.5</v>
      </c>
    </row>
    <row r="1621" spans="1:4" x14ac:dyDescent="0.25">
      <c r="A1621" t="str">
        <f>"TRL-OTI/DALI25/220/700"</f>
        <v>TRL-OTI/DALI25/220/700</v>
      </c>
      <c r="B1621" t="str">
        <f>"Optotronic OTi DALI 25/220-240/700LT2"</f>
        <v>Optotronic OTi DALI 25/220-240/700LT2</v>
      </c>
      <c r="C1621" t="str">
        <f>"239"</f>
        <v>239</v>
      </c>
      <c r="D1621" s="1">
        <v>51.25</v>
      </c>
    </row>
    <row r="1622" spans="1:4" x14ac:dyDescent="0.25">
      <c r="A1622" t="str">
        <f>"TRL-10W350"</f>
        <v>TRL-10W350</v>
      </c>
      <c r="B1622" t="str">
        <f>"Elektronisches Vorschaltgerät für LED's, 11W, 350 mA 122114"</f>
        <v>Elektronisches Vorschaltgerät für LED's, 11W, 350 mA 122114</v>
      </c>
      <c r="C1622" t="str">
        <f>"238"</f>
        <v>238</v>
      </c>
      <c r="D1622" s="1">
        <v>21</v>
      </c>
    </row>
    <row r="1623" spans="1:4" x14ac:dyDescent="0.25">
      <c r="A1623" t="str">
        <f>"TRL111-41W"</f>
        <v>TRL111-41W</v>
      </c>
      <c r="B1623" t="str">
        <f>"Netzteil zu T111 41W Leuchtmittel"</f>
        <v>Netzteil zu T111 41W Leuchtmittel</v>
      </c>
      <c r="C1623" t="str">
        <f>"240"</f>
        <v>240</v>
      </c>
      <c r="D1623" s="1">
        <v>28.5</v>
      </c>
    </row>
    <row r="1624" spans="1:4" x14ac:dyDescent="0.25">
      <c r="A1624" t="str">
        <f>"TRL-13W24SL"</f>
        <v>TRL-13W24SL</v>
      </c>
      <c r="B1624" t="str">
        <f>"Elektronisches Netzteil für LED´s, 13W, 24V"</f>
        <v>Elektronisches Netzteil für LED´s, 13W, 24V</v>
      </c>
      <c r="C1624" t="str">
        <f>"241"</f>
        <v>241</v>
      </c>
      <c r="D1624" s="1">
        <v>23</v>
      </c>
    </row>
    <row r="1625" spans="1:4" x14ac:dyDescent="0.25">
      <c r="A1625" t="str">
        <f>"TRL-15W350"</f>
        <v>TRL-15W350</v>
      </c>
      <c r="B1625" t="str">
        <f>"LCI 15W 350mA TEC IP20"</f>
        <v>LCI 15W 350mA TEC IP20</v>
      </c>
      <c r="C1625" t="str">
        <f>"239"</f>
        <v>239</v>
      </c>
      <c r="D1625" s="1">
        <v>23.5</v>
      </c>
    </row>
    <row r="1626" spans="1:4" x14ac:dyDescent="0.25">
      <c r="A1626" t="str">
        <f>"TRL-15W350P"</f>
        <v>TRL-15W350P</v>
      </c>
      <c r="B1626" t="str">
        <f>"LED Netzteil CertaDrive 15W 350mA 42V 230V"</f>
        <v>LED Netzteil CertaDrive 15W 350mA 42V 230V</v>
      </c>
      <c r="C1626" t="str">
        <f>"239"</f>
        <v>239</v>
      </c>
      <c r="D1626" s="1">
        <v>13.5</v>
      </c>
    </row>
    <row r="1627" spans="1:4" x14ac:dyDescent="0.25">
      <c r="A1627" t="str">
        <f>"TRL-150W24IP"</f>
        <v>TRL-150W24IP</v>
      </c>
      <c r="B1627" t="str">
        <f>"Hochleistungs-EVG für LED, 150W, 24V, IP67 122511"</f>
        <v>Hochleistungs-EVG für LED, 150W, 24V, IP67 122511</v>
      </c>
      <c r="C1627" t="str">
        <f>"241"</f>
        <v>241</v>
      </c>
      <c r="D1627" s="1">
        <v>195.25</v>
      </c>
    </row>
    <row r="1628" spans="1:4" x14ac:dyDescent="0.25">
      <c r="A1628" t="str">
        <f>"TRL-17W350D"</f>
        <v>TRL-17W350D</v>
      </c>
      <c r="B1628" t="str">
        <f>"Multi Vorschaltgerät für LED, 17-32W, 350-750mA, 24V 122260"</f>
        <v>Multi Vorschaltgerät für LED, 17-32W, 350-750mA, 24V 122260</v>
      </c>
      <c r="C1628" t="str">
        <f>"239"</f>
        <v>239</v>
      </c>
      <c r="D1628" s="1">
        <v>51.5</v>
      </c>
    </row>
    <row r="1629" spans="1:4" x14ac:dyDescent="0.25">
      <c r="A1629" t="str">
        <f>"TRL-20W24"</f>
        <v>TRL-20W24</v>
      </c>
      <c r="B1629" t="str">
        <f>"Elektronisches Vorschaltgerät für LED's, 20W, 24V IP20 122322"</f>
        <v>Elektronisches Vorschaltgerät für LED's, 20W, 24V IP20 122322</v>
      </c>
      <c r="C1629" t="str">
        <f>"241"</f>
        <v>241</v>
      </c>
      <c r="D1629" s="1">
        <v>24.5</v>
      </c>
    </row>
    <row r="1630" spans="1:4" x14ac:dyDescent="0.25">
      <c r="A1630" t="str">
        <f>"TRL-20W24D"</f>
        <v>TRL-20W24D</v>
      </c>
      <c r="B1630" t="str">
        <f>"Dim. elektronisches Vorschaltgerät für LED's, 20W, 24V IP20 122314"</f>
        <v>Dim. elektronisches Vorschaltgerät für LED's, 20W, 24V IP20 122314</v>
      </c>
      <c r="C1630" t="str">
        <f>"241"</f>
        <v>241</v>
      </c>
      <c r="D1630" s="1">
        <v>42.5</v>
      </c>
    </row>
    <row r="1631" spans="1:4" x14ac:dyDescent="0.25">
      <c r="A1631" t="str">
        <f>"TRL-20W24VAIP"</f>
        <v>TRL-20W24VAIP</v>
      </c>
      <c r="B1631" t="str">
        <f>"Elektronisches Vorschaltgerät für LED's, 20W, 24V IP67"</f>
        <v>Elektronisches Vorschaltgerät für LED's, 20W, 24V IP67</v>
      </c>
      <c r="C1631" t="str">
        <f>"241"</f>
        <v>241</v>
      </c>
      <c r="D1631" s="1">
        <v>117.5</v>
      </c>
    </row>
    <row r="1632" spans="1:4" x14ac:dyDescent="0.25">
      <c r="A1632" t="str">
        <f>"TRL-20W700-FLEXC SR ADV"</f>
        <v>TRL-20W700-FLEXC SR ADV</v>
      </c>
      <c r="B1632" t="str">
        <f>"LED Netzteil 20W 350,500,700mA mit Zugentlastung"</f>
        <v>LED Netzteil 20W 350,500,700mA mit Zugentlastung</v>
      </c>
      <c r="C1632" t="str">
        <f>"239"</f>
        <v>239</v>
      </c>
      <c r="D1632" s="1">
        <v>13</v>
      </c>
    </row>
    <row r="1633" spans="1:4" x14ac:dyDescent="0.25">
      <c r="A1633" t="str">
        <f>"TRL-30W700"</f>
        <v>TRL-30W700</v>
      </c>
      <c r="B1633" t="str">
        <f>"LED Netzteil CertaDrive 30W 700mA 42V 230V"</f>
        <v>LED Netzteil CertaDrive 30W 700mA 42V 230V</v>
      </c>
      <c r="C1633" t="str">
        <f>"239"</f>
        <v>239</v>
      </c>
      <c r="D1633" s="1">
        <v>18</v>
      </c>
    </row>
    <row r="1634" spans="1:4" x14ac:dyDescent="0.25">
      <c r="A1634" t="str">
        <f>"TRL-4W350U"</f>
        <v>TRL-4W350U</v>
      </c>
      <c r="B1634" t="str">
        <f>"Elektronisches Vorschaltgerät für LED's, 4W, 350mA,weiß 122596"</f>
        <v>Elektronisches Vorschaltgerät für LED's, 4W, 350mA,weiß 122596</v>
      </c>
      <c r="C1634" t="str">
        <f>"238"</f>
        <v>238</v>
      </c>
      <c r="D1634" s="1">
        <v>15.75</v>
      </c>
    </row>
    <row r="1635" spans="1:4" x14ac:dyDescent="0.25">
      <c r="A1635" t="str">
        <f>"TRL-42W1050"</f>
        <v>TRL-42W1050</v>
      </c>
      <c r="B1635" t="str">
        <f>"LCI 42W 1050mA, TEC SR mit Zugentlastung"</f>
        <v>LCI 42W 1050mA, TEC SR mit Zugentlastung</v>
      </c>
      <c r="C1635" t="str">
        <f>"240"</f>
        <v>240</v>
      </c>
      <c r="D1635" s="1">
        <v>27.5</v>
      </c>
    </row>
    <row r="1636" spans="1:4" x14ac:dyDescent="0.25">
      <c r="A1636" t="str">
        <f>"TRL-44W1050"</f>
        <v>TRL-44W1050</v>
      </c>
      <c r="B1636" t="str">
        <f>"Philips LED Netzteil CertaDrive 44W, 1050mA, 42V/230V"</f>
        <v>Philips LED Netzteil CertaDrive 44W, 1050mA, 42V/230V</v>
      </c>
      <c r="C1636" t="str">
        <f>"240"</f>
        <v>240</v>
      </c>
      <c r="D1636" s="1">
        <v>15.75</v>
      </c>
    </row>
    <row r="1637" spans="1:4" x14ac:dyDescent="0.25">
      <c r="A1637" t="str">
        <f>"TRL-6W24U"</f>
        <v>TRL-6W24U</v>
      </c>
      <c r="B1637" t="str">
        <f>"Elektronisches Vorschaltgerät für LED's, 6/8W, 24V, weiß 122598"</f>
        <v>Elektronisches Vorschaltgerät für LED's, 6/8W, 24V, weiß 122598</v>
      </c>
      <c r="C1637" t="str">
        <f>"238"</f>
        <v>238</v>
      </c>
      <c r="D1637" s="1">
        <v>17.25</v>
      </c>
    </row>
    <row r="1638" spans="1:4" x14ac:dyDescent="0.25">
      <c r="A1638" t="str">
        <f>"TRL-70W24IP"</f>
        <v>TRL-70W24IP</v>
      </c>
      <c r="B1638" t="str">
        <f>"Elektronisches Vorschaltgerät für LED's, 70W, IP67 122479"</f>
        <v>Elektronisches Vorschaltgerät für LED's, 70W, IP67 122479</v>
      </c>
      <c r="C1638" t="str">
        <f>"241"</f>
        <v>241</v>
      </c>
      <c r="D1638" s="1">
        <v>115</v>
      </c>
    </row>
    <row r="1639" spans="1:4" x14ac:dyDescent="0.25">
      <c r="A1639" t="str">
        <f>"TRL-8W24IP"</f>
        <v>TRL-8W24IP</v>
      </c>
      <c r="B1639" t="str">
        <f>"Elektronisches Vorschaltgerät für Power LED's, 8W, 24V, schw 122800"</f>
        <v>Elektronisches Vorschaltgerät für Power LED's, 8W, 24V, schw 122800</v>
      </c>
      <c r="C1639" t="str">
        <f>"229"</f>
        <v>229</v>
      </c>
      <c r="D1639" s="1">
        <v>28.75</v>
      </c>
    </row>
    <row r="1640" spans="1:4" x14ac:dyDescent="0.25">
      <c r="A1640" t="str">
        <f>"TRMR-010"</f>
        <v>TRMR-010</v>
      </c>
      <c r="B1640" t="str">
        <f>"Tridonic LCBU BASIC Niedervolt Trafo für LED 3-10W, 12V"</f>
        <v>Tridonic LCBU BASIC Niedervolt Trafo für LED 3-10W, 12V</v>
      </c>
      <c r="C1640" t="str">
        <f>"242"</f>
        <v>242</v>
      </c>
      <c r="D1640" s="1">
        <v>18.75</v>
      </c>
    </row>
    <row r="1641" spans="1:4" x14ac:dyDescent="0.25">
      <c r="A1641" t="str">
        <f>"TRMR-070"</f>
        <v>TRMR-070</v>
      </c>
      <c r="B1641" t="str">
        <f>"Niedervolt Trafo für LED und Halogenlampen, 1-70W, 12V"</f>
        <v>Niedervolt Trafo für LED und Halogenlampen, 1-70W, 12V</v>
      </c>
      <c r="C1641" t="str">
        <f>"242"</f>
        <v>242</v>
      </c>
      <c r="D1641" s="1">
        <v>24.5</v>
      </c>
    </row>
    <row r="1642" spans="1:4" x14ac:dyDescent="0.25">
      <c r="A1642" t="str">
        <f>"TRN-34NW6F"</f>
        <v>TRN-34NW6F</v>
      </c>
      <c r="B1642" t="str">
        <f>"4229GR4K TRIANGOLO Wand-u Deckenaußenleuchte LED 34,5W Notlicht, Alu graphitgrau"</f>
        <v>4229GR4K TRIANGOLO Wand-u Deckenaußenleuchte LED 34,5W Notlicht, Alu graphitgrau</v>
      </c>
      <c r="C1642" t="str">
        <f>"195"</f>
        <v>195</v>
      </c>
      <c r="D1642" s="1">
        <v>782</v>
      </c>
    </row>
    <row r="1643" spans="1:4" x14ac:dyDescent="0.25">
      <c r="A1643" t="str">
        <f>"TRN-34NW7F"</f>
        <v>TRN-34NW7F</v>
      </c>
      <c r="B1643" t="str">
        <f>"4229SI4K TRIANGOLO Wand-u Deckenaußenleuchte LED 34,5W Notlicht, Alu metallgrau"</f>
        <v>4229SI4K TRIANGOLO Wand-u Deckenaußenleuchte LED 34,5W Notlicht, Alu metallgrau</v>
      </c>
      <c r="C1643" t="str">
        <f>"195"</f>
        <v>195</v>
      </c>
      <c r="D1643" s="1">
        <v>797</v>
      </c>
    </row>
    <row r="1644" spans="1:4" x14ac:dyDescent="0.25">
      <c r="A1644" t="str">
        <f>"TRN-34WW6F"</f>
        <v>TRN-34WW6F</v>
      </c>
      <c r="B1644" t="str">
        <f>"4229GR3K TRIANGOLO Wand-u Deckenaußenleuchte LED 34,5W Notlicht Alu graphitgrau"</f>
        <v>4229GR3K TRIANGOLO Wand-u Deckenaußenleuchte LED 34,5W Notlicht Alu graphitgrau</v>
      </c>
      <c r="C1644" t="str">
        <f>"195"</f>
        <v>195</v>
      </c>
      <c r="D1644" s="1">
        <v>782</v>
      </c>
    </row>
    <row r="1645" spans="1:4" x14ac:dyDescent="0.25">
      <c r="A1645" t="str">
        <f>"TRN-34WW7F"</f>
        <v>TRN-34WW7F</v>
      </c>
      <c r="B1645" t="str">
        <f>"4229SI3K TRIANGOLO Wand-u Deckenaußenleuchte LED 34,5W Notlicht, Alu metallgrau"</f>
        <v>4229SI3K TRIANGOLO Wand-u Deckenaußenleuchte LED 34,5W Notlicht, Alu metallgrau</v>
      </c>
      <c r="C1645" t="str">
        <f>"195"</f>
        <v>195</v>
      </c>
      <c r="D1645" s="1">
        <v>797</v>
      </c>
    </row>
    <row r="1646" spans="1:4" x14ac:dyDescent="0.25">
      <c r="A1646" t="str">
        <f>"TRR-050"</f>
        <v>TRR-050</v>
      </c>
      <c r="B1646" t="str">
        <f>"NV-Trafo, rund 47x18mm, 50VA, 1 Eingang, 1 Ausgang, dimmbar"</f>
        <v>NV-Trafo, rund 47x18mm, 50VA, 1 Eingang, 1 Ausgang, dimmbar</v>
      </c>
      <c r="C1646" t="str">
        <f>"243"</f>
        <v>243</v>
      </c>
      <c r="D1646" s="1">
        <v>18.25</v>
      </c>
    </row>
    <row r="1647" spans="1:4" x14ac:dyDescent="0.25">
      <c r="A1647" t="str">
        <f>"TRR-070"</f>
        <v>TRR-070</v>
      </c>
      <c r="B1647" t="str">
        <f>"NV-Trafo, rund 53x22mm, 70VA, 1 Eingang, 1 Ausgang, dimmbar,"</f>
        <v>NV-Trafo, rund 53x22mm, 70VA, 1 Eingang, 1 Ausgang, dimmbar,</v>
      </c>
      <c r="C1647" t="str">
        <f>"243"</f>
        <v>243</v>
      </c>
      <c r="D1647" s="1">
        <v>20</v>
      </c>
    </row>
    <row r="1648" spans="1:4" x14ac:dyDescent="0.25">
      <c r="A1648" t="str">
        <f>"TRR-105"</f>
        <v>TRR-105</v>
      </c>
      <c r="B1648" t="str">
        <f>"NV-Trafo, rund 70x22mm, 105VA 1 Eingang, 1 Ausgang, dimmbar,"</f>
        <v>NV-Trafo, rund 70x22mm, 105VA 1 Eingang, 1 Ausgang, dimmbar,</v>
      </c>
      <c r="C1648" t="str">
        <f>"243"</f>
        <v>243</v>
      </c>
      <c r="D1648" s="1">
        <v>23.25</v>
      </c>
    </row>
    <row r="1649" spans="1:4" x14ac:dyDescent="0.25">
      <c r="A1649" t="str">
        <f>"TRZ-105"</f>
        <v>TRZ-105</v>
      </c>
      <c r="B1649" t="str">
        <f>"Elektronischer Trafo 20-105 VA, 50/60 Hz., VDE, MM"</f>
        <v>Elektronischer Trafo 20-105 VA, 50/60 Hz., VDE, MM</v>
      </c>
      <c r="C1649" t="str">
        <f>"243"</f>
        <v>243</v>
      </c>
      <c r="D1649" s="1">
        <v>16.25</v>
      </c>
    </row>
    <row r="1650" spans="1:4" x14ac:dyDescent="0.25">
      <c r="A1650" t="str">
        <f>"TR-34NW6F"</f>
        <v>TR-34NW6F</v>
      </c>
      <c r="B1650" t="str">
        <f>"4223GR4K TRIANGOLO Wand-u Deckenaußenleuchte, LED 34,5W 4000K Alu graphitgrau"</f>
        <v>4223GR4K TRIANGOLO Wand-u Deckenaußenleuchte, LED 34,5W 4000K Alu graphitgrau</v>
      </c>
      <c r="C1650" t="str">
        <f t="shared" ref="C1650:C1665" si="82">"195"</f>
        <v>195</v>
      </c>
      <c r="D1650" s="1">
        <v>567</v>
      </c>
    </row>
    <row r="1651" spans="1:4" x14ac:dyDescent="0.25">
      <c r="A1651" t="str">
        <f>"TR-34NW7F"</f>
        <v>TR-34NW7F</v>
      </c>
      <c r="B1651" t="str">
        <f>"4223SI4K TRIANGOLO Wand-u Deckenaußenleuchte, LED 34,5W, 4000K, Alu, metallgrau"</f>
        <v>4223SI4K TRIANGOLO Wand-u Deckenaußenleuchte, LED 34,5W, 4000K, Alu, metallgrau</v>
      </c>
      <c r="C1651" t="str">
        <f t="shared" si="82"/>
        <v>195</v>
      </c>
      <c r="D1651" s="1">
        <v>583</v>
      </c>
    </row>
    <row r="1652" spans="1:4" x14ac:dyDescent="0.25">
      <c r="A1652" t="str">
        <f>"TR-34WW6F"</f>
        <v>TR-34WW6F</v>
      </c>
      <c r="B1652" t="str">
        <f>"4223GR3K TRIANGOLO Wand-u Deckenaußenleuchte, LED 34,5W 3000K Alu graphitgrau"</f>
        <v>4223GR3K TRIANGOLO Wand-u Deckenaußenleuchte, LED 34,5W 3000K Alu graphitgrau</v>
      </c>
      <c r="C1652" t="str">
        <f t="shared" si="82"/>
        <v>195</v>
      </c>
      <c r="D1652" s="1">
        <v>567</v>
      </c>
    </row>
    <row r="1653" spans="1:4" x14ac:dyDescent="0.25">
      <c r="A1653" t="str">
        <f>"TR-34WW7F"</f>
        <v>TR-34WW7F</v>
      </c>
      <c r="B1653" t="str">
        <f>"4223SI3K TRIANGOLO Wand-u Deckenaußenleuchte, LED 34,5W, 3000K, Alu, metallgrau"</f>
        <v>4223SI3K TRIANGOLO Wand-u Deckenaußenleuchte, LED 34,5W, 3000K, Alu, metallgrau</v>
      </c>
      <c r="C1653" t="str">
        <f t="shared" si="82"/>
        <v>195</v>
      </c>
      <c r="D1653" s="1">
        <v>583</v>
      </c>
    </row>
    <row r="1654" spans="1:4" x14ac:dyDescent="0.25">
      <c r="A1654" t="str">
        <f>"TR-50NW6BAT"</f>
        <v>TR-50NW6BAT</v>
      </c>
      <c r="B1654" t="str">
        <f>"4225GR4KBAT TRIANGOLO Wand-u Deckenaußenleuchte, LED 50W 4000K Alu graphitgrau"</f>
        <v>4225GR4KBAT TRIANGOLO Wand-u Deckenaußenleuchte, LED 50W 4000K Alu graphitgrau</v>
      </c>
      <c r="C1654" t="str">
        <f t="shared" si="82"/>
        <v>195</v>
      </c>
      <c r="D1654" s="1">
        <v>705</v>
      </c>
    </row>
    <row r="1655" spans="1:4" x14ac:dyDescent="0.25">
      <c r="A1655" t="str">
        <f>"TR-50NW6F"</f>
        <v>TR-50NW6F</v>
      </c>
      <c r="B1655" t="str">
        <f>"4225GR4K TRIANGOLO Wand-u Deckenaußenleuchte, LED 50W 4000K Alu graphitgrau"</f>
        <v>4225GR4K TRIANGOLO Wand-u Deckenaußenleuchte, LED 50W 4000K Alu graphitgrau</v>
      </c>
      <c r="C1655" t="str">
        <f t="shared" si="82"/>
        <v>195</v>
      </c>
      <c r="D1655" s="1">
        <v>705</v>
      </c>
    </row>
    <row r="1656" spans="1:4" x14ac:dyDescent="0.25">
      <c r="A1656" t="str">
        <f>"TR-50NW6S"</f>
        <v>TR-50NW6S</v>
      </c>
      <c r="B1656" t="str">
        <f>"4225GR4K25° TRIANGOLO Wand-u Deckenaußenleuchte, LED 50W 4000K Alu graphitgrau"</f>
        <v>4225GR4K25° TRIANGOLO Wand-u Deckenaußenleuchte, LED 50W 4000K Alu graphitgrau</v>
      </c>
      <c r="C1656" t="str">
        <f t="shared" si="82"/>
        <v>195</v>
      </c>
      <c r="D1656" s="1">
        <v>705</v>
      </c>
    </row>
    <row r="1657" spans="1:4" x14ac:dyDescent="0.25">
      <c r="A1657" t="str">
        <f>"TR-50NW7BAT"</f>
        <v>TR-50NW7BAT</v>
      </c>
      <c r="B1657" t="str">
        <f>"4225SI4KBAT TRIANGOLO Wand-u Deckenaußenleuchte, LED 50W 4000K Alu metallgrau"</f>
        <v>4225SI4KBAT TRIANGOLO Wand-u Deckenaußenleuchte, LED 50W 4000K Alu metallgrau</v>
      </c>
      <c r="C1657" t="str">
        <f t="shared" si="82"/>
        <v>195</v>
      </c>
      <c r="D1657" s="1">
        <v>721</v>
      </c>
    </row>
    <row r="1658" spans="1:4" x14ac:dyDescent="0.25">
      <c r="A1658" t="str">
        <f>"TR-50NW7F"</f>
        <v>TR-50NW7F</v>
      </c>
      <c r="B1658" t="str">
        <f>"4225SI4K TRIANGOLO Wand-u Deckenaußenleuchte, LED 50W 4000K Alu metallgrau"</f>
        <v>4225SI4K TRIANGOLO Wand-u Deckenaußenleuchte, LED 50W 4000K Alu metallgrau</v>
      </c>
      <c r="C1658" t="str">
        <f t="shared" si="82"/>
        <v>195</v>
      </c>
      <c r="D1658" s="1">
        <v>721</v>
      </c>
    </row>
    <row r="1659" spans="1:4" x14ac:dyDescent="0.25">
      <c r="A1659" t="str">
        <f>"TR-50NW7S"</f>
        <v>TR-50NW7S</v>
      </c>
      <c r="B1659" t="str">
        <f>"4225SI4K25° TRIANGOLO Wand-u Deckenaußenleuchte, LED 50W 4000K Alu metallgrau"</f>
        <v>4225SI4K25° TRIANGOLO Wand-u Deckenaußenleuchte, LED 50W 4000K Alu metallgrau</v>
      </c>
      <c r="C1659" t="str">
        <f t="shared" si="82"/>
        <v>195</v>
      </c>
      <c r="D1659" s="1">
        <v>721</v>
      </c>
    </row>
    <row r="1660" spans="1:4" x14ac:dyDescent="0.25">
      <c r="A1660" t="str">
        <f>"TR-50WW6BAT"</f>
        <v>TR-50WW6BAT</v>
      </c>
      <c r="B1660" t="str">
        <f>"4225GR3KBAT TRIANGOLO Wand-u Deckenaußenleuchte, LED 50W 3000K Alu graphitgrau"</f>
        <v>4225GR3KBAT TRIANGOLO Wand-u Deckenaußenleuchte, LED 50W 3000K Alu graphitgrau</v>
      </c>
      <c r="C1660" t="str">
        <f t="shared" si="82"/>
        <v>195</v>
      </c>
      <c r="D1660" s="1">
        <v>705</v>
      </c>
    </row>
    <row r="1661" spans="1:4" x14ac:dyDescent="0.25">
      <c r="A1661" t="str">
        <f>"TR-50WW6F"</f>
        <v>TR-50WW6F</v>
      </c>
      <c r="B1661" t="str">
        <f>"4225GR3K TRIANGOLO Wand-u Deckenaußenleuchte, LED 50W 3000K Alu graphitgrau"</f>
        <v>4225GR3K TRIANGOLO Wand-u Deckenaußenleuchte, LED 50W 3000K Alu graphitgrau</v>
      </c>
      <c r="C1661" t="str">
        <f t="shared" si="82"/>
        <v>195</v>
      </c>
      <c r="D1661" s="1">
        <v>705</v>
      </c>
    </row>
    <row r="1662" spans="1:4" x14ac:dyDescent="0.25">
      <c r="A1662" t="str">
        <f>"TR-50WW6S"</f>
        <v>TR-50WW6S</v>
      </c>
      <c r="B1662" t="str">
        <f>"4225GR3K25° TRIANGOLO Wand-u Deckenaußenleuchte, LED 50W 3000K Alu graphitgrau"</f>
        <v>4225GR3K25° TRIANGOLO Wand-u Deckenaußenleuchte, LED 50W 3000K Alu graphitgrau</v>
      </c>
      <c r="C1662" t="str">
        <f t="shared" si="82"/>
        <v>195</v>
      </c>
      <c r="D1662" s="1">
        <v>705</v>
      </c>
    </row>
    <row r="1663" spans="1:4" x14ac:dyDescent="0.25">
      <c r="A1663" t="str">
        <f>"TR-50WW7BAT"</f>
        <v>TR-50WW7BAT</v>
      </c>
      <c r="B1663" t="str">
        <f>"4225SI3KBAT TRIANGOLO Wand-u Deckenaußenleuchte, LED 50W 3000K Alu metallgrau"</f>
        <v>4225SI3KBAT TRIANGOLO Wand-u Deckenaußenleuchte, LED 50W 3000K Alu metallgrau</v>
      </c>
      <c r="C1663" t="str">
        <f t="shared" si="82"/>
        <v>195</v>
      </c>
      <c r="D1663" s="1">
        <v>721</v>
      </c>
    </row>
    <row r="1664" spans="1:4" x14ac:dyDescent="0.25">
      <c r="A1664" t="str">
        <f>"TR-50WW7F"</f>
        <v>TR-50WW7F</v>
      </c>
      <c r="B1664" t="str">
        <f>"4225SI3K TRIANGOLO Wand-u Deckenaußenleuchte, LED 50W 3000K Alu metallgrau"</f>
        <v>4225SI3K TRIANGOLO Wand-u Deckenaußenleuchte, LED 50W 3000K Alu metallgrau</v>
      </c>
      <c r="C1664" t="str">
        <f t="shared" si="82"/>
        <v>195</v>
      </c>
      <c r="D1664" s="1">
        <v>721</v>
      </c>
    </row>
    <row r="1665" spans="1:4" x14ac:dyDescent="0.25">
      <c r="A1665" t="str">
        <f>"TR-50WW7S"</f>
        <v>TR-50WW7S</v>
      </c>
      <c r="B1665" t="str">
        <f>"4225SI3K25° TRIANGOLO Wand-u Deckenaußenleuchte, LED 50W 3000K Alu metallgrau"</f>
        <v>4225SI3K25° TRIANGOLO Wand-u Deckenaußenleuchte, LED 50W 3000K Alu metallgrau</v>
      </c>
      <c r="C1665" t="str">
        <f t="shared" si="82"/>
        <v>195</v>
      </c>
      <c r="D1665" s="1">
        <v>721</v>
      </c>
    </row>
    <row r="1666" spans="1:4" x14ac:dyDescent="0.25">
      <c r="A1666" t="str">
        <f>"T111-41NW92-K"</f>
        <v>T111-41NW92-K</v>
      </c>
      <c r="B1666" t="str">
        <f>"LED Einsatz T111, 41W, 3800K, CRI 92+, 25° Ausstrahlwinkel, ca. 2800lm"</f>
        <v>LED Einsatz T111, 41W, 3800K, CRI 92+, 25° Ausstrahlwinkel, ca. 2800lm</v>
      </c>
      <c r="C1666" t="str">
        <f>"55"</f>
        <v>55</v>
      </c>
      <c r="D1666" s="1">
        <v>100</v>
      </c>
    </row>
    <row r="1667" spans="1:4" x14ac:dyDescent="0.25">
      <c r="A1667" t="str">
        <f>"T111-41WW92-K"</f>
        <v>T111-41WW92-K</v>
      </c>
      <c r="B1667" t="str">
        <f>"LED Einsatz T111, 41W, 3000K, CRI 92+, 25° Ausstrahlwinkel, ca. 2550lm"</f>
        <v>LED Einsatz T111, 41W, 3000K, CRI 92+, 25° Ausstrahlwinkel, ca. 2550lm</v>
      </c>
      <c r="C1667" t="str">
        <f>"55"</f>
        <v>55</v>
      </c>
      <c r="D1667" s="1">
        <v>100</v>
      </c>
    </row>
    <row r="1668" spans="1:4" x14ac:dyDescent="0.25">
      <c r="A1668" t="str">
        <f>"UWL-10WW2EF"</f>
        <v>UWL-10WW2EF</v>
      </c>
      <c r="B1668" t="str">
        <f>"UWL, Wandanbauleuchte, LED 10W, CRI80, 3000K, schwarz"</f>
        <v>UWL, Wandanbauleuchte, LED 10W, CRI80, 3000K, schwarz</v>
      </c>
      <c r="C1668" t="str">
        <f>"235"</f>
        <v>235</v>
      </c>
      <c r="D1668" s="1">
        <v>60</v>
      </c>
    </row>
    <row r="1669" spans="1:4" x14ac:dyDescent="0.25">
      <c r="A1669" t="str">
        <f>"WASH22P-1NW1"</f>
        <v>WASH22P-1NW1</v>
      </c>
      <c r="B1669" t="str">
        <f>"1309BI4K Wash 22 Wandaußenleuchte LED 9,5W, 4000K, 1-fach, weiß"</f>
        <v>1309BI4K Wash 22 Wandaußenleuchte LED 9,5W, 4000K, 1-fach, weiß</v>
      </c>
      <c r="C1669" t="str">
        <f t="shared" ref="C1669:C1697" si="83">"185"</f>
        <v>185</v>
      </c>
      <c r="D1669" s="1">
        <v>245</v>
      </c>
    </row>
    <row r="1670" spans="1:4" x14ac:dyDescent="0.25">
      <c r="A1670" t="str">
        <f>"WASH22P-1NW6"</f>
        <v>WASH22P-1NW6</v>
      </c>
      <c r="B1670" t="str">
        <f>"1309GR4K Wash 22 Wandaußenleuchte LED 9,5W, 4000K, 1-fach, graphitgrau"</f>
        <v>1309GR4K Wash 22 Wandaußenleuchte LED 9,5W, 4000K, 1-fach, graphitgrau</v>
      </c>
      <c r="C1670" t="str">
        <f t="shared" si="83"/>
        <v>185</v>
      </c>
      <c r="D1670" s="1">
        <v>245</v>
      </c>
    </row>
    <row r="1671" spans="1:4" x14ac:dyDescent="0.25">
      <c r="A1671" t="str">
        <f>"WASH22P-1NW7"</f>
        <v>WASH22P-1NW7</v>
      </c>
      <c r="B1671" t="str">
        <f>"1309GM4K Wash 22 Wandaußenleuchte LED 9,5W, 4000K, 1-fach, metallgrau"</f>
        <v>1309GM4K Wash 22 Wandaußenleuchte LED 9,5W, 4000K, 1-fach, metallgrau</v>
      </c>
      <c r="C1671" t="str">
        <f t="shared" si="83"/>
        <v>185</v>
      </c>
      <c r="D1671" s="1">
        <v>245</v>
      </c>
    </row>
    <row r="1672" spans="1:4" x14ac:dyDescent="0.25">
      <c r="A1672" t="str">
        <f>"WASH22P-1WW1"</f>
        <v>WASH22P-1WW1</v>
      </c>
      <c r="B1672" t="str">
        <f>"1309BI3K Wash 22 Wandaußenleuchte LED 9,5W, 3000K, 1-fach, weiß  "</f>
        <v xml:space="preserve">1309BI3K Wash 22 Wandaußenleuchte LED 9,5W, 3000K, 1-fach, weiß  </v>
      </c>
      <c r="C1672" t="str">
        <f t="shared" si="83"/>
        <v>185</v>
      </c>
      <c r="D1672" s="1">
        <v>245</v>
      </c>
    </row>
    <row r="1673" spans="1:4" x14ac:dyDescent="0.25">
      <c r="A1673" t="str">
        <f>"WASH22P-1WW6"</f>
        <v>WASH22P-1WW6</v>
      </c>
      <c r="B1673" t="str">
        <f>"1309GR3K Wash 22 Wandaußenleuchte LED 9,5W, 3000K, 1-fach, graphitgrau"</f>
        <v>1309GR3K Wash 22 Wandaußenleuchte LED 9,5W, 3000K, 1-fach, graphitgrau</v>
      </c>
      <c r="C1673" t="str">
        <f t="shared" si="83"/>
        <v>185</v>
      </c>
      <c r="D1673" s="1">
        <v>245</v>
      </c>
    </row>
    <row r="1674" spans="1:4" x14ac:dyDescent="0.25">
      <c r="A1674" t="str">
        <f>"WASH22P-1WW7"</f>
        <v>WASH22P-1WW7</v>
      </c>
      <c r="B1674" t="str">
        <f>"1309GM3K Wash 22 Wandaußenleuchte LED 9,5W, 3000K, 1-fach, metallgrau"</f>
        <v>1309GM3K Wash 22 Wandaußenleuchte LED 9,5W, 3000K, 1-fach, metallgrau</v>
      </c>
      <c r="C1674" t="str">
        <f t="shared" si="83"/>
        <v>185</v>
      </c>
      <c r="D1674" s="1">
        <v>245</v>
      </c>
    </row>
    <row r="1675" spans="1:4" x14ac:dyDescent="0.25">
      <c r="A1675" t="str">
        <f>"WASH22P-2NW1"</f>
        <v>WASH22P-2NW1</v>
      </c>
      <c r="B1675" t="str">
        <f>"1308BI4K Wash 22 Wandaußenleuchte LED 2x9,5W, 4000K, 2-fach, weiß  "</f>
        <v xml:space="preserve">1308BI4K Wash 22 Wandaußenleuchte LED 2x9,5W, 4000K, 2-fach, weiß  </v>
      </c>
      <c r="C1675" t="str">
        <f t="shared" si="83"/>
        <v>185</v>
      </c>
      <c r="D1675" s="1">
        <v>337</v>
      </c>
    </row>
    <row r="1676" spans="1:4" x14ac:dyDescent="0.25">
      <c r="A1676" t="str">
        <f>"WASH22P-2NW7"</f>
        <v>WASH22P-2NW7</v>
      </c>
      <c r="B1676" t="str">
        <f>"1308GM4K Wash 22 Wandaußenleuchte LED 2x9,5W, 4000K, 2-fach, metallgrau"</f>
        <v>1308GM4K Wash 22 Wandaußenleuchte LED 2x9,5W, 4000K, 2-fach, metallgrau</v>
      </c>
      <c r="C1676" t="str">
        <f t="shared" si="83"/>
        <v>185</v>
      </c>
      <c r="D1676" s="1">
        <v>337</v>
      </c>
    </row>
    <row r="1677" spans="1:4" x14ac:dyDescent="0.25">
      <c r="A1677" t="str">
        <f>"WASH22P-2WW1"</f>
        <v>WASH22P-2WW1</v>
      </c>
      <c r="B1677" t="str">
        <f>"1308BI3K Wash 22 Wandaußenleuchte LED 2x9,5W, 3000K, 2-fach, weiß  "</f>
        <v xml:space="preserve">1308BI3K Wash 22 Wandaußenleuchte LED 2x9,5W, 3000K, 2-fach, weiß  </v>
      </c>
      <c r="C1677" t="str">
        <f t="shared" si="83"/>
        <v>185</v>
      </c>
      <c r="D1677" s="1">
        <v>337</v>
      </c>
    </row>
    <row r="1678" spans="1:4" x14ac:dyDescent="0.25">
      <c r="A1678" t="str">
        <f>"WASH22P-2WW6"</f>
        <v>WASH22P-2WW6</v>
      </c>
      <c r="B1678" t="str">
        <f>"1308GR3K Wash 22 Wandaußenleuchte LED 2x9,5W, 3000K, 2-fach, graphitgrau"</f>
        <v>1308GR3K Wash 22 Wandaußenleuchte LED 2x9,5W, 3000K, 2-fach, graphitgrau</v>
      </c>
      <c r="C1678" t="str">
        <f t="shared" si="83"/>
        <v>185</v>
      </c>
      <c r="D1678" s="1">
        <v>337</v>
      </c>
    </row>
    <row r="1679" spans="1:4" x14ac:dyDescent="0.25">
      <c r="A1679" t="str">
        <f>"WASH22P-2WW7"</f>
        <v>WASH22P-2WW7</v>
      </c>
      <c r="B1679" t="str">
        <f>"1308GM3K Wash 22 Wandaußenleuchte LED 2x9,5W, 3000K, 2-fach, metallgrau"</f>
        <v>1308GM3K Wash 22 Wandaußenleuchte LED 2x9,5W, 3000K, 2-fach, metallgrau</v>
      </c>
      <c r="C1679" t="str">
        <f t="shared" si="83"/>
        <v>185</v>
      </c>
      <c r="D1679" s="1">
        <v>337</v>
      </c>
    </row>
    <row r="1680" spans="1:4" x14ac:dyDescent="0.25">
      <c r="A1680" t="str">
        <f>"WASH22-1NW1"</f>
        <v>WASH22-1NW1</v>
      </c>
      <c r="B1680" t="str">
        <f>"1305BI4K Wash 22, Wandaußenleuchte, LED 1x9,3W, 4000K, 1-fach, weiß"</f>
        <v>1305BI4K Wash 22, Wandaußenleuchte, LED 1x9,3W, 4000K, 1-fach, weiß</v>
      </c>
      <c r="C1680" t="str">
        <f t="shared" si="83"/>
        <v>185</v>
      </c>
      <c r="D1680" s="1">
        <v>232.5</v>
      </c>
    </row>
    <row r="1681" spans="1:4" x14ac:dyDescent="0.25">
      <c r="A1681" t="str">
        <f>"WASH22-1NW6"</f>
        <v>WASH22-1NW6</v>
      </c>
      <c r="B1681" t="str">
        <f>"1305GR4K Wash 22, Wandaußenleuchte, LED 1x9,3W, 4000K, 1-fach, graphitgrau"</f>
        <v>1305GR4K Wash 22, Wandaußenleuchte, LED 1x9,3W, 4000K, 1-fach, graphitgrau</v>
      </c>
      <c r="C1681" t="str">
        <f t="shared" si="83"/>
        <v>185</v>
      </c>
      <c r="D1681" s="1">
        <v>232.5</v>
      </c>
    </row>
    <row r="1682" spans="1:4" x14ac:dyDescent="0.25">
      <c r="A1682" t="str">
        <f>"WASH22-1NW7"</f>
        <v>WASH22-1NW7</v>
      </c>
      <c r="B1682" t="str">
        <f>"1305GM4K Wash 22, Wandaußenleuchte, LED 1x9,3W, 4000K, 1-fach, metallgrau"</f>
        <v>1305GM4K Wash 22, Wandaußenleuchte, LED 1x9,3W, 4000K, 1-fach, metallgrau</v>
      </c>
      <c r="C1682" t="str">
        <f t="shared" si="83"/>
        <v>185</v>
      </c>
      <c r="D1682" s="1">
        <v>232.5</v>
      </c>
    </row>
    <row r="1683" spans="1:4" x14ac:dyDescent="0.25">
      <c r="A1683" t="str">
        <f>"WASH22-1WW1"</f>
        <v>WASH22-1WW1</v>
      </c>
      <c r="B1683" t="str">
        <f>"1305BI3K Wash 22, Wandaußenleuchte, LED 1x9,3W, 3000K, 1-fach, weiß"</f>
        <v>1305BI3K Wash 22, Wandaußenleuchte, LED 1x9,3W, 3000K, 1-fach, weiß</v>
      </c>
      <c r="C1683" t="str">
        <f t="shared" si="83"/>
        <v>185</v>
      </c>
      <c r="D1683" s="1">
        <v>232.5</v>
      </c>
    </row>
    <row r="1684" spans="1:4" x14ac:dyDescent="0.25">
      <c r="A1684" t="str">
        <f>"WASH22-1WW6"</f>
        <v>WASH22-1WW6</v>
      </c>
      <c r="B1684" t="str">
        <f>"1305GR3K Wash 22, Wandaußenleuchte, LED 1x9,3W, 3000K, 1-fach, graphitgrau"</f>
        <v>1305GR3K Wash 22, Wandaußenleuchte, LED 1x9,3W, 3000K, 1-fach, graphitgrau</v>
      </c>
      <c r="C1684" t="str">
        <f t="shared" si="83"/>
        <v>185</v>
      </c>
      <c r="D1684" s="1">
        <v>232.5</v>
      </c>
    </row>
    <row r="1685" spans="1:4" x14ac:dyDescent="0.25">
      <c r="A1685" t="str">
        <f>"WASH22-1WW7"</f>
        <v>WASH22-1WW7</v>
      </c>
      <c r="B1685" t="str">
        <f>"1305GM3K Wash 22, Wandaußenleuchte, LED 1x9,3W, 3000K, 1-fach, metallgrau"</f>
        <v>1305GM3K Wash 22, Wandaußenleuchte, LED 1x9,3W, 3000K, 1-fach, metallgrau</v>
      </c>
      <c r="C1685" t="str">
        <f t="shared" si="83"/>
        <v>185</v>
      </c>
      <c r="D1685" s="1">
        <v>232.5</v>
      </c>
    </row>
    <row r="1686" spans="1:4" x14ac:dyDescent="0.25">
      <c r="A1686" t="str">
        <f>"WASH22-1811"</f>
        <v>WASH22-1811</v>
      </c>
      <c r="B1686" t="str">
        <f>"1306BI Wash 22, Wandaußenleuchte, E27, 1-fach, weiß"</f>
        <v>1306BI Wash 22, Wandaußenleuchte, E27, 1-fach, weiß</v>
      </c>
      <c r="C1686" t="str">
        <f t="shared" si="83"/>
        <v>185</v>
      </c>
      <c r="D1686" s="1">
        <v>156.5</v>
      </c>
    </row>
    <row r="1687" spans="1:4" x14ac:dyDescent="0.25">
      <c r="A1687" t="str">
        <f>"WASH22-1816"</f>
        <v>WASH22-1816</v>
      </c>
      <c r="B1687" t="str">
        <f>"1306GR Wash 22, Wandaußenleuchte, E27, 1-fach, graphitgrau"</f>
        <v>1306GR Wash 22, Wandaußenleuchte, E27, 1-fach, graphitgrau</v>
      </c>
      <c r="C1687" t="str">
        <f t="shared" si="83"/>
        <v>185</v>
      </c>
      <c r="D1687" s="1">
        <v>156.5</v>
      </c>
    </row>
    <row r="1688" spans="1:4" x14ac:dyDescent="0.25">
      <c r="A1688" t="str">
        <f>"WASH22-1817"</f>
        <v>WASH22-1817</v>
      </c>
      <c r="B1688" t="str">
        <f>"1306GM Wash 22, Wandaußenleuchte, E27, 1-fach, metallgrau"</f>
        <v>1306GM Wash 22, Wandaußenleuchte, E27, 1-fach, metallgrau</v>
      </c>
      <c r="C1688" t="str">
        <f t="shared" si="83"/>
        <v>185</v>
      </c>
      <c r="D1688" s="1">
        <v>156.5</v>
      </c>
    </row>
    <row r="1689" spans="1:4" x14ac:dyDescent="0.25">
      <c r="A1689" t="str">
        <f>"WASH22-1821"</f>
        <v>WASH22-1821</v>
      </c>
      <c r="B1689" t="str">
        <f>"1302BI Wash 22, Wandaußenleuchte, E27, 2-fach, weiß"</f>
        <v>1302BI Wash 22, Wandaußenleuchte, E27, 2-fach, weiß</v>
      </c>
      <c r="C1689" t="str">
        <f t="shared" si="83"/>
        <v>185</v>
      </c>
      <c r="D1689" s="1">
        <v>186.5</v>
      </c>
    </row>
    <row r="1690" spans="1:4" x14ac:dyDescent="0.25">
      <c r="A1690" t="str">
        <f>"WASH22-1826"</f>
        <v>WASH22-1826</v>
      </c>
      <c r="B1690" t="str">
        <f>"1302GR Wash 22, Wandaußenleuchte, E27, 2-fach, graphitgrau"</f>
        <v>1302GR Wash 22, Wandaußenleuchte, E27, 2-fach, graphitgrau</v>
      </c>
      <c r="C1690" t="str">
        <f t="shared" si="83"/>
        <v>185</v>
      </c>
      <c r="D1690" s="1">
        <v>186.5</v>
      </c>
    </row>
    <row r="1691" spans="1:4" x14ac:dyDescent="0.25">
      <c r="A1691" t="str">
        <f>"WASH22-1827"</f>
        <v>WASH22-1827</v>
      </c>
      <c r="B1691" t="str">
        <f>"1302GM Wash 22, Wandaußenleuchte, E27, 2-fach, metallgrau"</f>
        <v>1302GM Wash 22, Wandaußenleuchte, E27, 2-fach, metallgrau</v>
      </c>
      <c r="C1691" t="str">
        <f t="shared" si="83"/>
        <v>185</v>
      </c>
      <c r="D1691" s="1">
        <v>186.5</v>
      </c>
    </row>
    <row r="1692" spans="1:4" x14ac:dyDescent="0.25">
      <c r="A1692" t="str">
        <f>"WASH22-2NW1"</f>
        <v>WASH22-2NW1</v>
      </c>
      <c r="B1692" t="str">
        <f>"1301BI4K Wash 22, Wandaußenleuchte, LED 2x9,3W, 4000K, 2-fach, weiß"</f>
        <v>1301BI4K Wash 22, Wandaußenleuchte, LED 2x9,3W, 4000K, 2-fach, weiß</v>
      </c>
      <c r="C1692" t="str">
        <f t="shared" si="83"/>
        <v>185</v>
      </c>
      <c r="D1692" s="1">
        <v>320</v>
      </c>
    </row>
    <row r="1693" spans="1:4" x14ac:dyDescent="0.25">
      <c r="A1693" t="str">
        <f>"WASH22-2NW6"</f>
        <v>WASH22-2NW6</v>
      </c>
      <c r="B1693" t="str">
        <f>"1301GR4K Wash 22, Wandaußenleuchte, LED 2x9,3W, 4000K, 2-fach, graphitgrau"</f>
        <v>1301GR4K Wash 22, Wandaußenleuchte, LED 2x9,3W, 4000K, 2-fach, graphitgrau</v>
      </c>
      <c r="C1693" t="str">
        <f t="shared" si="83"/>
        <v>185</v>
      </c>
      <c r="D1693" s="1">
        <v>320</v>
      </c>
    </row>
    <row r="1694" spans="1:4" x14ac:dyDescent="0.25">
      <c r="A1694" t="str">
        <f>"WASH22-2NW7"</f>
        <v>WASH22-2NW7</v>
      </c>
      <c r="B1694" t="str">
        <f>"1301GM4K Wash 22, Wandaußenleuchte, LED 2x9,3W, 4000K, 2-fach, metallgrau"</f>
        <v>1301GM4K Wash 22, Wandaußenleuchte, LED 2x9,3W, 4000K, 2-fach, metallgrau</v>
      </c>
      <c r="C1694" t="str">
        <f t="shared" si="83"/>
        <v>185</v>
      </c>
      <c r="D1694" s="1">
        <v>320</v>
      </c>
    </row>
    <row r="1695" spans="1:4" x14ac:dyDescent="0.25">
      <c r="A1695" t="str">
        <f>"WASH22-2WW1"</f>
        <v>WASH22-2WW1</v>
      </c>
      <c r="B1695" t="str">
        <f>"1301BI3K Wash 22, Wandaußenleuchte, LED 2x9,3W, 3000K, 2-fach, weiß"</f>
        <v>1301BI3K Wash 22, Wandaußenleuchte, LED 2x9,3W, 3000K, 2-fach, weiß</v>
      </c>
      <c r="C1695" t="str">
        <f t="shared" si="83"/>
        <v>185</v>
      </c>
      <c r="D1695" s="1">
        <v>320</v>
      </c>
    </row>
    <row r="1696" spans="1:4" x14ac:dyDescent="0.25">
      <c r="A1696" t="str">
        <f>"WASH22-2WW6"</f>
        <v>WASH22-2WW6</v>
      </c>
      <c r="B1696" t="str">
        <f>"1301GR3K Wash 22, Wandaußenleuchte, LED 2x9,3W, 3000K, 2-fach, graphitgrau"</f>
        <v>1301GR3K Wash 22, Wandaußenleuchte, LED 2x9,3W, 3000K, 2-fach, graphitgrau</v>
      </c>
      <c r="C1696" t="str">
        <f t="shared" si="83"/>
        <v>185</v>
      </c>
      <c r="D1696" s="1">
        <v>320</v>
      </c>
    </row>
    <row r="1697" spans="1:4" x14ac:dyDescent="0.25">
      <c r="A1697" t="str">
        <f>"WASH22-2WW7"</f>
        <v>WASH22-2WW7</v>
      </c>
      <c r="B1697" t="str">
        <f>"1301GM3K Wash 22, Wandaußenleuchte, LED 2x9,3W, 3000K, 2-fach, metallgrau"</f>
        <v>1301GM3K Wash 22, Wandaußenleuchte, LED 2x9,3W, 3000K, 2-fach, metallgrau</v>
      </c>
      <c r="C1697" t="str">
        <f t="shared" si="83"/>
        <v>185</v>
      </c>
      <c r="D1697" s="1">
        <v>320</v>
      </c>
    </row>
    <row r="1698" spans="1:4" x14ac:dyDescent="0.25">
      <c r="A1698" t="str">
        <f>"WASH24P-1NW1"</f>
        <v>WASH24P-1NW1</v>
      </c>
      <c r="B1698" t="str">
        <f>"1328BI4K Wash 24 Wandaußenleuchte LED 9,5W, 4000K, 1-fach, weiß  "</f>
        <v xml:space="preserve">1328BI4K Wash 24 Wandaußenleuchte LED 9,5W, 4000K, 1-fach, weiß  </v>
      </c>
      <c r="C1698" t="str">
        <f t="shared" ref="C1698:C1727" si="84">"187"</f>
        <v>187</v>
      </c>
      <c r="D1698" s="1">
        <v>274</v>
      </c>
    </row>
    <row r="1699" spans="1:4" x14ac:dyDescent="0.25">
      <c r="A1699" t="str">
        <f>"WASH24P-1NW6"</f>
        <v>WASH24P-1NW6</v>
      </c>
      <c r="B1699" t="str">
        <f>"1328GR4K Wash 24 Wandaußenleuchte LED 9,5W, 4000K, 1-fach, graphitgrau"</f>
        <v>1328GR4K Wash 24 Wandaußenleuchte LED 9,5W, 4000K, 1-fach, graphitgrau</v>
      </c>
      <c r="C1699" t="str">
        <f t="shared" si="84"/>
        <v>187</v>
      </c>
      <c r="D1699" s="1">
        <v>274</v>
      </c>
    </row>
    <row r="1700" spans="1:4" x14ac:dyDescent="0.25">
      <c r="A1700" t="str">
        <f>"WASH24P-1NW7"</f>
        <v>WASH24P-1NW7</v>
      </c>
      <c r="B1700" t="str">
        <f>"1328GM4K Wash 24 Wandaußenleuchte LED 9,5W, 4000K, 1-fach, metallgrau"</f>
        <v>1328GM4K Wash 24 Wandaußenleuchte LED 9,5W, 4000K, 1-fach, metallgrau</v>
      </c>
      <c r="C1700" t="str">
        <f t="shared" si="84"/>
        <v>187</v>
      </c>
      <c r="D1700" s="1">
        <v>274</v>
      </c>
    </row>
    <row r="1701" spans="1:4" x14ac:dyDescent="0.25">
      <c r="A1701" t="str">
        <f>"WASH24P-1WW1"</f>
        <v>WASH24P-1WW1</v>
      </c>
      <c r="B1701" t="str">
        <f>"1328BI3K Wash 24 Wandaußenleuchte LED 9,5W, 3000K, 1-fach, weiß  "</f>
        <v xml:space="preserve">1328BI3K Wash 24 Wandaußenleuchte LED 9,5W, 3000K, 1-fach, weiß  </v>
      </c>
      <c r="C1701" t="str">
        <f t="shared" si="84"/>
        <v>187</v>
      </c>
      <c r="D1701" s="1">
        <v>274</v>
      </c>
    </row>
    <row r="1702" spans="1:4" x14ac:dyDescent="0.25">
      <c r="A1702" t="str">
        <f>"WASH24P-1WW6"</f>
        <v>WASH24P-1WW6</v>
      </c>
      <c r="B1702" t="str">
        <f>"1328GR3K Wash 24 Wandaußenleuchte LED 9,5W, 3000K, 1-fach, graphitgrau "</f>
        <v xml:space="preserve">1328GR3K Wash 24 Wandaußenleuchte LED 9,5W, 3000K, 1-fach, graphitgrau </v>
      </c>
      <c r="C1702" t="str">
        <f t="shared" si="84"/>
        <v>187</v>
      </c>
      <c r="D1702" s="1">
        <v>274</v>
      </c>
    </row>
    <row r="1703" spans="1:4" x14ac:dyDescent="0.25">
      <c r="A1703" t="str">
        <f>"WASH24P-1WW7"</f>
        <v>WASH24P-1WW7</v>
      </c>
      <c r="B1703" t="str">
        <f>"1328GM3K Wash 24 Wandaußenleuchte LED 9,5W, 3000K, 1-fach, metallgrau"</f>
        <v>1328GM3K Wash 24 Wandaußenleuchte LED 9,5W, 3000K, 1-fach, metallgrau</v>
      </c>
      <c r="C1703" t="str">
        <f t="shared" si="84"/>
        <v>187</v>
      </c>
      <c r="D1703" s="1">
        <v>274</v>
      </c>
    </row>
    <row r="1704" spans="1:4" x14ac:dyDescent="0.25">
      <c r="A1704" t="str">
        <f>"WASH24P-2NW1"</f>
        <v>WASH24P-2NW1</v>
      </c>
      <c r="B1704" t="str">
        <f>"1327BI4K Wash 24 Wandaußenleuchte LED 2x9,5W, 4000K, 2-fach, weiß"</f>
        <v>1327BI4K Wash 24 Wandaußenleuchte LED 2x9,5W, 4000K, 2-fach, weiß</v>
      </c>
      <c r="C1704" t="str">
        <f t="shared" si="84"/>
        <v>187</v>
      </c>
      <c r="D1704" s="1">
        <v>367.5</v>
      </c>
    </row>
    <row r="1705" spans="1:4" x14ac:dyDescent="0.25">
      <c r="A1705" t="str">
        <f>"WASH24P-2NW6"</f>
        <v>WASH24P-2NW6</v>
      </c>
      <c r="B1705" t="str">
        <f>"1327GR4K Wash 24 Wandaußenleuchte LED 2x9,5W, 4000K, 2-fach, graphitgrau"</f>
        <v>1327GR4K Wash 24 Wandaußenleuchte LED 2x9,5W, 4000K, 2-fach, graphitgrau</v>
      </c>
      <c r="C1705" t="str">
        <f t="shared" si="84"/>
        <v>187</v>
      </c>
      <c r="D1705" s="1">
        <v>367.5</v>
      </c>
    </row>
    <row r="1706" spans="1:4" x14ac:dyDescent="0.25">
      <c r="A1706" t="str">
        <f>"WASH24P-2NW7"</f>
        <v>WASH24P-2NW7</v>
      </c>
      <c r="B1706" t="str">
        <f>"1327GM4K Wash 24 Wandaußenleuchte LED 2x9,5W, 4000K, 2-fach, metallgrau"</f>
        <v>1327GM4K Wash 24 Wandaußenleuchte LED 2x9,5W, 4000K, 2-fach, metallgrau</v>
      </c>
      <c r="C1706" t="str">
        <f t="shared" si="84"/>
        <v>187</v>
      </c>
      <c r="D1706" s="1">
        <v>367.5</v>
      </c>
    </row>
    <row r="1707" spans="1:4" x14ac:dyDescent="0.25">
      <c r="A1707" t="str">
        <f>"WASH24P-2WW1"</f>
        <v>WASH24P-2WW1</v>
      </c>
      <c r="B1707" t="str">
        <f>"1327BI3K Wash 24 Wandaußenleuchte LED 2x9,5W, 3000K, 2-fach, weiß  "</f>
        <v xml:space="preserve">1327BI3K Wash 24 Wandaußenleuchte LED 2x9,5W, 3000K, 2-fach, weiß  </v>
      </c>
      <c r="C1707" t="str">
        <f t="shared" si="84"/>
        <v>187</v>
      </c>
      <c r="D1707" s="1">
        <v>367.5</v>
      </c>
    </row>
    <row r="1708" spans="1:4" x14ac:dyDescent="0.25">
      <c r="A1708" t="str">
        <f>"WASH24P-2WW6"</f>
        <v>WASH24P-2WW6</v>
      </c>
      <c r="B1708" t="str">
        <f>"1327GR3K Wash 24 Wandaußenleuchte LED 2x9,5W, 3000K, 2-fach, graphitgrau"</f>
        <v>1327GR3K Wash 24 Wandaußenleuchte LED 2x9,5W, 3000K, 2-fach, graphitgrau</v>
      </c>
      <c r="C1708" t="str">
        <f t="shared" si="84"/>
        <v>187</v>
      </c>
      <c r="D1708" s="1">
        <v>367.5</v>
      </c>
    </row>
    <row r="1709" spans="1:4" x14ac:dyDescent="0.25">
      <c r="A1709" t="str">
        <f>"WASH24P-2WW7"</f>
        <v>WASH24P-2WW7</v>
      </c>
      <c r="B1709" t="str">
        <f>"1327BI3K Wash 24 Wandaußenleuchte LED 2x9,5W, 3000K, 2-fach, metallgrau"</f>
        <v>1327BI3K Wash 24 Wandaußenleuchte LED 2x9,5W, 3000K, 2-fach, metallgrau</v>
      </c>
      <c r="C1709" t="str">
        <f t="shared" si="84"/>
        <v>187</v>
      </c>
      <c r="D1709" s="1">
        <v>367.5</v>
      </c>
    </row>
    <row r="1710" spans="1:4" x14ac:dyDescent="0.25">
      <c r="A1710" t="str">
        <f>"WASH24-1NW1"</f>
        <v>WASH24-1NW1</v>
      </c>
      <c r="B1710" t="str">
        <f>"1324BI4K Wash 24, Wandaußenleuchte, LED 1x9,3W, 4000K, 1-fach, weiß"</f>
        <v>1324BI4K Wash 24, Wandaußenleuchte, LED 1x9,3W, 4000K, 1-fach, weiß</v>
      </c>
      <c r="C1710" t="str">
        <f t="shared" si="84"/>
        <v>187</v>
      </c>
      <c r="D1710" s="1">
        <v>247.5</v>
      </c>
    </row>
    <row r="1711" spans="1:4" x14ac:dyDescent="0.25">
      <c r="A1711" t="str">
        <f>"WASH24-1NW6"</f>
        <v>WASH24-1NW6</v>
      </c>
      <c r="B1711" t="str">
        <f>"1324GR4K Wash 24, Wandaußenleuchte, LED 1x9,3W, 4000K, 1-fach, graphitgrau"</f>
        <v>1324GR4K Wash 24, Wandaußenleuchte, LED 1x9,3W, 4000K, 1-fach, graphitgrau</v>
      </c>
      <c r="C1711" t="str">
        <f t="shared" si="84"/>
        <v>187</v>
      </c>
      <c r="D1711" s="1">
        <v>247.5</v>
      </c>
    </row>
    <row r="1712" spans="1:4" x14ac:dyDescent="0.25">
      <c r="A1712" t="str">
        <f>"WASH24-1NW7"</f>
        <v>WASH24-1NW7</v>
      </c>
      <c r="B1712" t="str">
        <f>"1324GM4K Wash 24, Wandaußenleuchte, LED 1x9,3W, 4000K, 1-fach, metallgrau"</f>
        <v>1324GM4K Wash 24, Wandaußenleuchte, LED 1x9,3W, 4000K, 1-fach, metallgrau</v>
      </c>
      <c r="C1712" t="str">
        <f t="shared" si="84"/>
        <v>187</v>
      </c>
      <c r="D1712" s="1">
        <v>247.5</v>
      </c>
    </row>
    <row r="1713" spans="1:4" x14ac:dyDescent="0.25">
      <c r="A1713" t="str">
        <f>"WASH24-1WW1"</f>
        <v>WASH24-1WW1</v>
      </c>
      <c r="B1713" t="str">
        <f>"1324BI3K Wash 24, Wandaußenleuchte, LED 1x9,3W, 3000K, 1-fach, weiß"</f>
        <v>1324BI3K Wash 24, Wandaußenleuchte, LED 1x9,3W, 3000K, 1-fach, weiß</v>
      </c>
      <c r="C1713" t="str">
        <f t="shared" si="84"/>
        <v>187</v>
      </c>
      <c r="D1713" s="1">
        <v>247.5</v>
      </c>
    </row>
    <row r="1714" spans="1:4" x14ac:dyDescent="0.25">
      <c r="A1714" t="str">
        <f>"WASH24-1WW6"</f>
        <v>WASH24-1WW6</v>
      </c>
      <c r="B1714" t="str">
        <f>"1324GR3K Wash 24, Wandaußenleuchte, LED 1x9,3W, 3000K, 1-fach, graphitgrau"</f>
        <v>1324GR3K Wash 24, Wandaußenleuchte, LED 1x9,3W, 3000K, 1-fach, graphitgrau</v>
      </c>
      <c r="C1714" t="str">
        <f t="shared" si="84"/>
        <v>187</v>
      </c>
      <c r="D1714" s="1">
        <v>247.5</v>
      </c>
    </row>
    <row r="1715" spans="1:4" x14ac:dyDescent="0.25">
      <c r="A1715" t="str">
        <f>"WASH24-1WW7"</f>
        <v>WASH24-1WW7</v>
      </c>
      <c r="B1715" t="str">
        <f>"1324GM3K Wash 24, Wandaußenleuchte, LED 1x9,3W, 3000K, 1-fach, metallgrau"</f>
        <v>1324GM3K Wash 24, Wandaußenleuchte, LED 1x9,3W, 3000K, 1-fach, metallgrau</v>
      </c>
      <c r="C1715" t="str">
        <f t="shared" si="84"/>
        <v>187</v>
      </c>
      <c r="D1715" s="1">
        <v>247.5</v>
      </c>
    </row>
    <row r="1716" spans="1:4" x14ac:dyDescent="0.25">
      <c r="A1716" t="str">
        <f>"WASH24-1811"</f>
        <v>WASH24-1811</v>
      </c>
      <c r="B1716" t="str">
        <f>"1325BI Wash 24, Wandaußenleuchte, E27, 1-fach, weiß"</f>
        <v>1325BI Wash 24, Wandaußenleuchte, E27, 1-fach, weiß</v>
      </c>
      <c r="C1716" t="str">
        <f t="shared" si="84"/>
        <v>187</v>
      </c>
      <c r="D1716" s="1">
        <v>184</v>
      </c>
    </row>
    <row r="1717" spans="1:4" x14ac:dyDescent="0.25">
      <c r="A1717" t="str">
        <f>"WASH24-1816"</f>
        <v>WASH24-1816</v>
      </c>
      <c r="B1717" t="str">
        <f>"1325GR Wash 24, Wandaußenleuchte, E27, 1-fach, graphitgrau"</f>
        <v>1325GR Wash 24, Wandaußenleuchte, E27, 1-fach, graphitgrau</v>
      </c>
      <c r="C1717" t="str">
        <f t="shared" si="84"/>
        <v>187</v>
      </c>
      <c r="D1717" s="1">
        <v>184</v>
      </c>
    </row>
    <row r="1718" spans="1:4" x14ac:dyDescent="0.25">
      <c r="A1718" t="str">
        <f>"WASH24-1817"</f>
        <v>WASH24-1817</v>
      </c>
      <c r="B1718" t="str">
        <f>"1325GM Wash 24, Wandaußenleuchte, E27, 1-fach, metallgrau"</f>
        <v>1325GM Wash 24, Wandaußenleuchte, E27, 1-fach, metallgrau</v>
      </c>
      <c r="C1718" t="str">
        <f t="shared" si="84"/>
        <v>187</v>
      </c>
      <c r="D1718" s="1">
        <v>184</v>
      </c>
    </row>
    <row r="1719" spans="1:4" x14ac:dyDescent="0.25">
      <c r="A1719" t="str">
        <f>"WASH24-1821"</f>
        <v>WASH24-1821</v>
      </c>
      <c r="B1719" t="str">
        <f>"1322BI Wash 24, Wandaußenleuchte, E27, 2-fach, weiß"</f>
        <v>1322BI Wash 24, Wandaußenleuchte, E27, 2-fach, weiß</v>
      </c>
      <c r="C1719" t="str">
        <f t="shared" si="84"/>
        <v>187</v>
      </c>
      <c r="D1719" s="1">
        <v>206.5</v>
      </c>
    </row>
    <row r="1720" spans="1:4" x14ac:dyDescent="0.25">
      <c r="A1720" t="str">
        <f>"WASH24-1826"</f>
        <v>WASH24-1826</v>
      </c>
      <c r="B1720" t="str">
        <f>"1322GR Wash 24, Wandaußenleuchte, E27, 2-fach, graphitgrau"</f>
        <v>1322GR Wash 24, Wandaußenleuchte, E27, 2-fach, graphitgrau</v>
      </c>
      <c r="C1720" t="str">
        <f t="shared" si="84"/>
        <v>187</v>
      </c>
      <c r="D1720" s="1">
        <v>206.5</v>
      </c>
    </row>
    <row r="1721" spans="1:4" x14ac:dyDescent="0.25">
      <c r="A1721" t="str">
        <f>"WASH24-1827"</f>
        <v>WASH24-1827</v>
      </c>
      <c r="B1721" t="str">
        <f>"1322GM Wash 24, Wandaußenleuchte, E27, 2-fach, metallgrau"</f>
        <v>1322GM Wash 24, Wandaußenleuchte, E27, 2-fach, metallgrau</v>
      </c>
      <c r="C1721" t="str">
        <f t="shared" si="84"/>
        <v>187</v>
      </c>
      <c r="D1721" s="1">
        <v>206.5</v>
      </c>
    </row>
    <row r="1722" spans="1:4" x14ac:dyDescent="0.25">
      <c r="A1722" t="str">
        <f>"WASH24-2NW1"</f>
        <v>WASH24-2NW1</v>
      </c>
      <c r="B1722" t="str">
        <f>"1321BI4K Wash 24, Wandaußenleuchte, LED 2x9,3W, 4000K, 2-fach, weiß"</f>
        <v>1321BI4K Wash 24, Wandaußenleuchte, LED 2x9,3W, 4000K, 2-fach, weiß</v>
      </c>
      <c r="C1722" t="str">
        <f t="shared" si="84"/>
        <v>187</v>
      </c>
      <c r="D1722" s="1">
        <v>332.5</v>
      </c>
    </row>
    <row r="1723" spans="1:4" x14ac:dyDescent="0.25">
      <c r="A1723" t="str">
        <f>"WASH24-2NW6"</f>
        <v>WASH24-2NW6</v>
      </c>
      <c r="B1723" t="str">
        <f>"1321GR4K Wash 24, Wandaußenleuchte, LED 2x9,3W, 4000K, 2-fach, graphitgrau"</f>
        <v>1321GR4K Wash 24, Wandaußenleuchte, LED 2x9,3W, 4000K, 2-fach, graphitgrau</v>
      </c>
      <c r="C1723" t="str">
        <f t="shared" si="84"/>
        <v>187</v>
      </c>
      <c r="D1723" s="1">
        <v>332.5</v>
      </c>
    </row>
    <row r="1724" spans="1:4" x14ac:dyDescent="0.25">
      <c r="A1724" t="str">
        <f>"WASH24-2NW7"</f>
        <v>WASH24-2NW7</v>
      </c>
      <c r="B1724" t="str">
        <f>"1321GM4K Wash 24, Wandaußenleuchte, LED 2x9,3W, 4000K, 2-fach, metallgrau"</f>
        <v>1321GM4K Wash 24, Wandaußenleuchte, LED 2x9,3W, 4000K, 2-fach, metallgrau</v>
      </c>
      <c r="C1724" t="str">
        <f t="shared" si="84"/>
        <v>187</v>
      </c>
      <c r="D1724" s="1">
        <v>332.5</v>
      </c>
    </row>
    <row r="1725" spans="1:4" x14ac:dyDescent="0.25">
      <c r="A1725" t="str">
        <f>"WASH24-2WW1"</f>
        <v>WASH24-2WW1</v>
      </c>
      <c r="B1725" t="str">
        <f>"1321BI3K Wash 24, Wandaußenleuchte, LED 2x9,3W, 3000K, 2-fach, weiß"</f>
        <v>1321BI3K Wash 24, Wandaußenleuchte, LED 2x9,3W, 3000K, 2-fach, weiß</v>
      </c>
      <c r="C1725" t="str">
        <f t="shared" si="84"/>
        <v>187</v>
      </c>
      <c r="D1725" s="1">
        <v>332.5</v>
      </c>
    </row>
    <row r="1726" spans="1:4" x14ac:dyDescent="0.25">
      <c r="A1726" t="str">
        <f>"WASH24-2WW6"</f>
        <v>WASH24-2WW6</v>
      </c>
      <c r="B1726" t="str">
        <f>"1321GR3K Wash 24, Wandaußenleuchte, LED 2x9,3W, 3000K, 2-fach, graphitgrau"</f>
        <v>1321GR3K Wash 24, Wandaußenleuchte, LED 2x9,3W, 3000K, 2-fach, graphitgrau</v>
      </c>
      <c r="C1726" t="str">
        <f t="shared" si="84"/>
        <v>187</v>
      </c>
      <c r="D1726" s="1">
        <v>332.5</v>
      </c>
    </row>
    <row r="1727" spans="1:4" x14ac:dyDescent="0.25">
      <c r="A1727" t="str">
        <f>"WASH24-2WW7"</f>
        <v>WASH24-2WW7</v>
      </c>
      <c r="B1727" t="str">
        <f>"1321GM3K Wash 24, Wandaußenleuchte, LED 2x9,3W, 3000K, 2-fach, metallgrau"</f>
        <v>1321GM3K Wash 24, Wandaußenleuchte, LED 2x9,3W, 3000K, 2-fach, metallgrau</v>
      </c>
      <c r="C1727" t="str">
        <f t="shared" si="84"/>
        <v>187</v>
      </c>
      <c r="D1727" s="1">
        <v>332.5</v>
      </c>
    </row>
    <row r="1728" spans="1:4" x14ac:dyDescent="0.25">
      <c r="A1728" t="str">
        <f>"WASH42-1NW1"</f>
        <v>WASH42-1NW1</v>
      </c>
      <c r="B1728" t="str">
        <f>"1312BI4K Wash 42, Wandaußenleuchte, LED 1x11W, 4000K, 1-fach, weiß"</f>
        <v>1312BI4K Wash 42, Wandaußenleuchte, LED 1x11W, 4000K, 1-fach, weiß</v>
      </c>
      <c r="C1728" t="str">
        <f t="shared" ref="C1728:C1739" si="85">"185"</f>
        <v>185</v>
      </c>
      <c r="D1728" s="1">
        <v>347.5</v>
      </c>
    </row>
    <row r="1729" spans="1:4" x14ac:dyDescent="0.25">
      <c r="A1729" t="str">
        <f>"WASH42-1NW6"</f>
        <v>WASH42-1NW6</v>
      </c>
      <c r="B1729" t="str">
        <f>"1312GR4K Wash 42, Wandaußenleuchte, LED 1x11W, 4000K, 1-fach, graphitgrau"</f>
        <v>1312GR4K Wash 42, Wandaußenleuchte, LED 1x11W, 4000K, 1-fach, graphitgrau</v>
      </c>
      <c r="C1729" t="str">
        <f t="shared" si="85"/>
        <v>185</v>
      </c>
      <c r="D1729" s="1">
        <v>347.5</v>
      </c>
    </row>
    <row r="1730" spans="1:4" x14ac:dyDescent="0.25">
      <c r="A1730" t="str">
        <f>"WASH42-1NW7"</f>
        <v>WASH42-1NW7</v>
      </c>
      <c r="B1730" t="str">
        <f>"1312GM4K Wash 42, Wandaußenleuchte, LED 1x11W, 4000K, 1-fach, metallgrau"</f>
        <v>1312GM4K Wash 42, Wandaußenleuchte, LED 1x11W, 4000K, 1-fach, metallgrau</v>
      </c>
      <c r="C1730" t="str">
        <f t="shared" si="85"/>
        <v>185</v>
      </c>
      <c r="D1730" s="1">
        <v>347.5</v>
      </c>
    </row>
    <row r="1731" spans="1:4" x14ac:dyDescent="0.25">
      <c r="A1731" t="str">
        <f>"WASH42-1WW1"</f>
        <v>WASH42-1WW1</v>
      </c>
      <c r="B1731" t="str">
        <f>"1312BI3K Wash 42, Wandaußenleuchte, LED 1x11W, 3000K, 1-fach, weiß"</f>
        <v>1312BI3K Wash 42, Wandaußenleuchte, LED 1x11W, 3000K, 1-fach, weiß</v>
      </c>
      <c r="C1731" t="str">
        <f t="shared" si="85"/>
        <v>185</v>
      </c>
      <c r="D1731" s="1">
        <v>347.5</v>
      </c>
    </row>
    <row r="1732" spans="1:4" x14ac:dyDescent="0.25">
      <c r="A1732" t="str">
        <f>"WASH42-1WW6"</f>
        <v>WASH42-1WW6</v>
      </c>
      <c r="B1732" t="str">
        <f>"1312GR3K Wash 42, Wandaußenleuchte, LED 1x11W, 3000K, 1-fach, graphitgrau"</f>
        <v>1312GR3K Wash 42, Wandaußenleuchte, LED 1x11W, 3000K, 1-fach, graphitgrau</v>
      </c>
      <c r="C1732" t="str">
        <f t="shared" si="85"/>
        <v>185</v>
      </c>
      <c r="D1732" s="1">
        <v>347.5</v>
      </c>
    </row>
    <row r="1733" spans="1:4" x14ac:dyDescent="0.25">
      <c r="A1733" t="str">
        <f>"WASH42-1WW7"</f>
        <v>WASH42-1WW7</v>
      </c>
      <c r="B1733" t="str">
        <f>"1312GM3K Wash 42, Wandaußenleuchte, LED 1x11W, 3000K, 1-fach, metallgrau"</f>
        <v>1312GM3K Wash 42, Wandaußenleuchte, LED 1x11W, 3000K, 1-fach, metallgrau</v>
      </c>
      <c r="C1733" t="str">
        <f t="shared" si="85"/>
        <v>185</v>
      </c>
      <c r="D1733" s="1">
        <v>347.5</v>
      </c>
    </row>
    <row r="1734" spans="1:4" x14ac:dyDescent="0.25">
      <c r="A1734" t="str">
        <f>"WASH42-2NW1"</f>
        <v>WASH42-2NW1</v>
      </c>
      <c r="B1734" t="str">
        <f>"1311BI4K Wash 42, Wandaußenleuchte, LED 2x11W, 4000K, 2-fach, weiß"</f>
        <v>1311BI4K Wash 42, Wandaußenleuchte, LED 2x11W, 4000K, 2-fach, weiß</v>
      </c>
      <c r="C1734" t="str">
        <f t="shared" si="85"/>
        <v>185</v>
      </c>
      <c r="D1734" s="1">
        <v>460</v>
      </c>
    </row>
    <row r="1735" spans="1:4" x14ac:dyDescent="0.25">
      <c r="A1735" t="str">
        <f>"WASH42-2NW6"</f>
        <v>WASH42-2NW6</v>
      </c>
      <c r="B1735" t="str">
        <f>"1311GR4K Wash 42, Wandaußenleuchte, LED 2x11W, 4000K, 2-fach, graphitgrau"</f>
        <v>1311GR4K Wash 42, Wandaußenleuchte, LED 2x11W, 4000K, 2-fach, graphitgrau</v>
      </c>
      <c r="C1735" t="str">
        <f t="shared" si="85"/>
        <v>185</v>
      </c>
      <c r="D1735" s="1">
        <v>460</v>
      </c>
    </row>
    <row r="1736" spans="1:4" x14ac:dyDescent="0.25">
      <c r="A1736" t="str">
        <f>"WASH42-2NW7"</f>
        <v>WASH42-2NW7</v>
      </c>
      <c r="B1736" t="str">
        <f>"1311GM4K Wash 42, Wandaußenleuchte, LED 2x11W, 4000K, 2-fach, metallgrau"</f>
        <v>1311GM4K Wash 42, Wandaußenleuchte, LED 2x11W, 4000K, 2-fach, metallgrau</v>
      </c>
      <c r="C1736" t="str">
        <f t="shared" si="85"/>
        <v>185</v>
      </c>
      <c r="D1736" s="1">
        <v>460</v>
      </c>
    </row>
    <row r="1737" spans="1:4" x14ac:dyDescent="0.25">
      <c r="A1737" t="str">
        <f>"WASH42-2WW1"</f>
        <v>WASH42-2WW1</v>
      </c>
      <c r="B1737" t="str">
        <f>"1311BI3K Wash 42, Wandaußenleuchte, LED 2x11W, 3000K, 2-fach, weiß"</f>
        <v>1311BI3K Wash 42, Wandaußenleuchte, LED 2x11W, 3000K, 2-fach, weiß</v>
      </c>
      <c r="C1737" t="str">
        <f t="shared" si="85"/>
        <v>185</v>
      </c>
      <c r="D1737" s="1">
        <v>460</v>
      </c>
    </row>
    <row r="1738" spans="1:4" x14ac:dyDescent="0.25">
      <c r="A1738" t="str">
        <f>"WASH42-2WW6"</f>
        <v>WASH42-2WW6</v>
      </c>
      <c r="B1738" t="str">
        <f>"1311GR3K Wash 42, Wandaußenleuchte, LED 2x11W, 3000K, 2-fach, graphitgrau"</f>
        <v>1311GR3K Wash 42, Wandaußenleuchte, LED 2x11W, 3000K, 2-fach, graphitgrau</v>
      </c>
      <c r="C1738" t="str">
        <f t="shared" si="85"/>
        <v>185</v>
      </c>
      <c r="D1738" s="1">
        <v>460</v>
      </c>
    </row>
    <row r="1739" spans="1:4" x14ac:dyDescent="0.25">
      <c r="A1739" t="str">
        <f>"WASH42-2WW7"</f>
        <v>WASH42-2WW7</v>
      </c>
      <c r="B1739" t="str">
        <f>"1311GM3K Wash 42, Wandaußenleuchte, LED 2x11W, 3000K, 2-fach, metallgrau"</f>
        <v>1311GM3K Wash 42, Wandaußenleuchte, LED 2x11W, 3000K, 2-fach, metallgrau</v>
      </c>
      <c r="C1739" t="str">
        <f t="shared" si="85"/>
        <v>185</v>
      </c>
      <c r="D1739" s="1">
        <v>460</v>
      </c>
    </row>
    <row r="1740" spans="1:4" x14ac:dyDescent="0.25">
      <c r="A1740" t="str">
        <f>"WASH52-1NW1"</f>
        <v>WASH52-1NW1</v>
      </c>
      <c r="B1740" t="str">
        <f>"1333BI4K Wash 52, Wandaußenleuchte gebogen, LED 1x11W, 4000K, 1-fach, weiß"</f>
        <v>1333BI4K Wash 52, Wandaußenleuchte gebogen, LED 1x11W, 4000K, 1-fach, weiß</v>
      </c>
      <c r="C1740" t="str">
        <f t="shared" ref="C1740:C1751" si="86">"81"</f>
        <v>81</v>
      </c>
      <c r="D1740" s="1">
        <v>379</v>
      </c>
    </row>
    <row r="1741" spans="1:4" x14ac:dyDescent="0.25">
      <c r="A1741" t="str">
        <f>"WASH52-1NW6"</f>
        <v>WASH52-1NW6</v>
      </c>
      <c r="B1741" t="str">
        <f>"1333GR4K Wash 52 Wandaußenleuchte gebogen, LED 1x11W, 4000K, 1-fach, graphitgrau"</f>
        <v>1333GR4K Wash 52 Wandaußenleuchte gebogen, LED 1x11W, 4000K, 1-fach, graphitgrau</v>
      </c>
      <c r="C1741" t="str">
        <f t="shared" si="86"/>
        <v>81</v>
      </c>
      <c r="D1741" s="1">
        <v>379</v>
      </c>
    </row>
    <row r="1742" spans="1:4" x14ac:dyDescent="0.25">
      <c r="A1742" t="str">
        <f>"WASH52-1NW7"</f>
        <v>WASH52-1NW7</v>
      </c>
      <c r="B1742" t="str">
        <f>"1333GM4K Wash 52, Wandaußenleuchte gebogen, LED 1x11W, 4000K, 1-fach, metallgrau"</f>
        <v>1333GM4K Wash 52, Wandaußenleuchte gebogen, LED 1x11W, 4000K, 1-fach, metallgrau</v>
      </c>
      <c r="C1742" t="str">
        <f t="shared" si="86"/>
        <v>81</v>
      </c>
      <c r="D1742" s="1">
        <v>379</v>
      </c>
    </row>
    <row r="1743" spans="1:4" x14ac:dyDescent="0.25">
      <c r="A1743" t="str">
        <f>"WASH52-1WW1"</f>
        <v>WASH52-1WW1</v>
      </c>
      <c r="B1743" t="str">
        <f>"1333BI3K Wash 52, Wandaußenleuchte gebogen, LED 1x11W, 3000K, 1-fach, weiß"</f>
        <v>1333BI3K Wash 52, Wandaußenleuchte gebogen, LED 1x11W, 3000K, 1-fach, weiß</v>
      </c>
      <c r="C1743" t="str">
        <f t="shared" si="86"/>
        <v>81</v>
      </c>
      <c r="D1743" s="1">
        <v>379</v>
      </c>
    </row>
    <row r="1744" spans="1:4" x14ac:dyDescent="0.25">
      <c r="A1744" t="str">
        <f>"WASH52-1WW6"</f>
        <v>WASH52-1WW6</v>
      </c>
      <c r="B1744" t="str">
        <f>"1333GR3K Wash 52, Wandaußenleuchte gebogen, LED 11W, 3000K, 1-fach, graphit"</f>
        <v>1333GR3K Wash 52, Wandaußenleuchte gebogen, LED 11W, 3000K, 1-fach, graphit</v>
      </c>
      <c r="C1744" t="str">
        <f t="shared" si="86"/>
        <v>81</v>
      </c>
      <c r="D1744" s="1">
        <v>379</v>
      </c>
    </row>
    <row r="1745" spans="1:4" x14ac:dyDescent="0.25">
      <c r="A1745" t="str">
        <f>"WASH52-1WW7"</f>
        <v>WASH52-1WW7</v>
      </c>
      <c r="B1745" t="str">
        <f>"1333GM3K Wash52, Wandaußenleuchte gebogen, LED11W, 3000K, 1fach, metallgrau"</f>
        <v>1333GM3K Wash52, Wandaußenleuchte gebogen, LED11W, 3000K, 1fach, metallgrau</v>
      </c>
      <c r="C1745" t="str">
        <f t="shared" si="86"/>
        <v>81</v>
      </c>
      <c r="D1745" s="1">
        <v>379</v>
      </c>
    </row>
    <row r="1746" spans="1:4" x14ac:dyDescent="0.25">
      <c r="A1746" t="str">
        <f>"WASH52-2NW1"</f>
        <v>WASH52-2NW1</v>
      </c>
      <c r="B1746" t="str">
        <f>"1332BI4K Wash 52, Wandaußenleuchte gebogen, LED 2x11W, 4000K, 2-fach, weiß"</f>
        <v>1332BI4K Wash 52, Wandaußenleuchte gebogen, LED 2x11W, 4000K, 2-fach, weiß</v>
      </c>
      <c r="C1746" t="str">
        <f t="shared" si="86"/>
        <v>81</v>
      </c>
      <c r="D1746" s="1">
        <v>485</v>
      </c>
    </row>
    <row r="1747" spans="1:4" x14ac:dyDescent="0.25">
      <c r="A1747" t="str">
        <f>"WASH52-2NW6"</f>
        <v>WASH52-2NW6</v>
      </c>
      <c r="B1747" t="str">
        <f>"1332GR4K Wash 52 Wandaußenleuchte gebogen, LED 2x11W, 4000K, 2-fach, graphitgrau"</f>
        <v>1332GR4K Wash 52 Wandaußenleuchte gebogen, LED 2x11W, 4000K, 2-fach, graphitgrau</v>
      </c>
      <c r="C1747" t="str">
        <f t="shared" si="86"/>
        <v>81</v>
      </c>
      <c r="D1747" s="1">
        <v>485</v>
      </c>
    </row>
    <row r="1748" spans="1:4" x14ac:dyDescent="0.25">
      <c r="A1748" t="str">
        <f>"WASH52-2NW7"</f>
        <v>WASH52-2NW7</v>
      </c>
      <c r="B1748" t="str">
        <f>"1332GM4K Wash 52, Wandaußenleuchte gebogen, LED 2x11W, 4000K, 2-fach, metallgrau"</f>
        <v>1332GM4K Wash 52, Wandaußenleuchte gebogen, LED 2x11W, 4000K, 2-fach, metallgrau</v>
      </c>
      <c r="C1748" t="str">
        <f t="shared" si="86"/>
        <v>81</v>
      </c>
      <c r="D1748" s="1">
        <v>485</v>
      </c>
    </row>
    <row r="1749" spans="1:4" x14ac:dyDescent="0.25">
      <c r="A1749" t="str">
        <f>"WASH52-2WW1"</f>
        <v>WASH52-2WW1</v>
      </c>
      <c r="B1749" t="str">
        <f>"1332BI3K Wash52, Wandaußenleuchte gebogen, LED 2x11W, 3000K, 1-fach, weiß"</f>
        <v>1332BI3K Wash52, Wandaußenleuchte gebogen, LED 2x11W, 3000K, 1-fach, weiß</v>
      </c>
      <c r="C1749" t="str">
        <f t="shared" si="86"/>
        <v>81</v>
      </c>
      <c r="D1749" s="1">
        <v>485</v>
      </c>
    </row>
    <row r="1750" spans="1:4" x14ac:dyDescent="0.25">
      <c r="A1750" t="str">
        <f>"WASH52-2WW6"</f>
        <v>WASH52-2WW6</v>
      </c>
      <c r="B1750" t="str">
        <f>"1332GR3K Wash52, Wandaußenleuchte gebogen, LED 2x11W, 3000K, 1fach, graphit"</f>
        <v>1332GR3K Wash52, Wandaußenleuchte gebogen, LED 2x11W, 3000K, 1fach, graphit</v>
      </c>
      <c r="C1750" t="str">
        <f t="shared" si="86"/>
        <v>81</v>
      </c>
      <c r="D1750" s="1">
        <v>485</v>
      </c>
    </row>
    <row r="1751" spans="1:4" x14ac:dyDescent="0.25">
      <c r="A1751" t="str">
        <f>"WASH52-2WW7"</f>
        <v>WASH52-2WW7</v>
      </c>
      <c r="B1751" t="str">
        <f>"1332GM3K Wash52, Wandaußenleuchte gebogen, LED 2x11W, 3000K, 1-fach, metallgrau"</f>
        <v>1332GM3K Wash52, Wandaußenleuchte gebogen, LED 2x11W, 3000K, 1-fach, metallgrau</v>
      </c>
      <c r="C1751" t="str">
        <f t="shared" si="86"/>
        <v>81</v>
      </c>
      <c r="D1751" s="1">
        <v>485</v>
      </c>
    </row>
    <row r="1752" spans="1:4" x14ac:dyDescent="0.25">
      <c r="A1752" t="str">
        <f>"WEL-18NW1"</f>
        <v>WEL-18NW1</v>
      </c>
      <c r="B1752" t="str">
        <f>"WEL, Wandleuchte, LED, 18W, 4000K, eckig, Gehäuse weiß"</f>
        <v>WEL, Wandleuchte, LED, 18W, 4000K, eckig, Gehäuse weiß</v>
      </c>
      <c r="C1752" t="str">
        <f>"155"</f>
        <v>155</v>
      </c>
      <c r="D1752" s="1">
        <v>140</v>
      </c>
    </row>
    <row r="1753" spans="1:4" x14ac:dyDescent="0.25">
      <c r="A1753" t="str">
        <f>"WEL-18NW1S"</f>
        <v>WEL-18NW1S</v>
      </c>
      <c r="B1753" t="str">
        <f>"WEL, Wandleuchte, LED, 18W, 4000K, eckig, mit Sensor, Gehäuse weiß"</f>
        <v>WEL, Wandleuchte, LED, 18W, 4000K, eckig, mit Sensor, Gehäuse weiß</v>
      </c>
      <c r="C1753" t="str">
        <f>"161"</f>
        <v>161</v>
      </c>
      <c r="D1753" s="1">
        <v>160</v>
      </c>
    </row>
    <row r="1754" spans="1:4" x14ac:dyDescent="0.25">
      <c r="A1754" t="str">
        <f>"WEL-18WW1"</f>
        <v>WEL-18WW1</v>
      </c>
      <c r="B1754" t="str">
        <f>"WEL, Wandleuchte, LED, 18W, 3000K, eckig, Gehäuse weiß"</f>
        <v>WEL, Wandleuchte, LED, 18W, 3000K, eckig, Gehäuse weiß</v>
      </c>
      <c r="C1754" t="str">
        <f>"155"</f>
        <v>155</v>
      </c>
      <c r="D1754" s="1">
        <v>140</v>
      </c>
    </row>
    <row r="1755" spans="1:4" x14ac:dyDescent="0.25">
      <c r="A1755" t="str">
        <f>"WEL-18WW1S"</f>
        <v>WEL-18WW1S</v>
      </c>
      <c r="B1755" t="str">
        <f>"WEL, Wandleuchte, LED, 18W, 3000K, eckig, mit Sensor, Gehäuse weiß"</f>
        <v>WEL, Wandleuchte, LED, 18W, 3000K, eckig, mit Sensor, Gehäuse weiß</v>
      </c>
      <c r="C1755" t="str">
        <f>"155"</f>
        <v>155</v>
      </c>
      <c r="D1755" s="1">
        <v>160</v>
      </c>
    </row>
    <row r="1756" spans="1:4" x14ac:dyDescent="0.25">
      <c r="A1756" t="str">
        <f>"WIL-29NW1"</f>
        <v>WIL-29NW1</v>
      </c>
      <c r="B1756" t="str">
        <f>"WIL, Wandleuchte, LED, 29W, 4000K, rund, Gehäuse weiß"</f>
        <v>WIL, Wandleuchte, LED, 29W, 4000K, rund, Gehäuse weiß</v>
      </c>
      <c r="C1756" t="str">
        <f>"159"</f>
        <v>159</v>
      </c>
      <c r="D1756" s="1">
        <v>176.2</v>
      </c>
    </row>
    <row r="1757" spans="1:4" x14ac:dyDescent="0.25">
      <c r="A1757" t="str">
        <f>"WIL-29NW1S"</f>
        <v>WIL-29NW1S</v>
      </c>
      <c r="B1757" t="str">
        <f>"WIL, Wandleuchte, LED, 29W, 4000K, rund, mit Sensor, Gehäuse weiß"</f>
        <v>WIL, Wandleuchte, LED, 29W, 4000K, rund, mit Sensor, Gehäuse weiß</v>
      </c>
      <c r="C1757" t="str">
        <f>"159"</f>
        <v>159</v>
      </c>
      <c r="D1757" s="1">
        <v>220</v>
      </c>
    </row>
    <row r="1758" spans="1:4" x14ac:dyDescent="0.25">
      <c r="A1758" t="str">
        <f>"WIL-29WW1"</f>
        <v>WIL-29WW1</v>
      </c>
      <c r="B1758" t="str">
        <f>"WIL, Wandleuchte, LED, 29W, 3000K, rund, Gehäuse weiß"</f>
        <v>WIL, Wandleuchte, LED, 29W, 3000K, rund, Gehäuse weiß</v>
      </c>
      <c r="C1758" t="str">
        <f>"159"</f>
        <v>159</v>
      </c>
      <c r="D1758" s="1">
        <v>176.2</v>
      </c>
    </row>
    <row r="1759" spans="1:4" x14ac:dyDescent="0.25">
      <c r="A1759" t="str">
        <f>"WIL-29WW1S"</f>
        <v>WIL-29WW1S</v>
      </c>
      <c r="B1759" t="str">
        <f>"WIL, Wandleuchte, LED, 29W, 3000K, rund, mit Sensor, Gehäuse weiß"</f>
        <v>WIL, Wandleuchte, LED, 29W, 3000K, rund, mit Sensor, Gehäuse weiß</v>
      </c>
      <c r="C1759" t="str">
        <f>"159"</f>
        <v>159</v>
      </c>
      <c r="D1759" s="1">
        <v>220</v>
      </c>
    </row>
    <row r="1760" spans="1:4" x14ac:dyDescent="0.25">
      <c r="A1760" t="str">
        <f>"WLI-18NW"</f>
        <v>WLI-18NW</v>
      </c>
      <c r="B1760" t="str">
        <f>"WLI, Wandleuchte, LED, 18,5W, 4000K, Gehäuse weiß"</f>
        <v>WLI, Wandleuchte, LED, 18,5W, 4000K, Gehäuse weiß</v>
      </c>
      <c r="C1760" t="str">
        <f t="shared" ref="C1760:C1775" si="87">"161"</f>
        <v>161</v>
      </c>
      <c r="D1760" s="1">
        <v>105</v>
      </c>
    </row>
    <row r="1761" spans="1:4" x14ac:dyDescent="0.25">
      <c r="A1761" t="str">
        <f>"WLI-18NWS"</f>
        <v>WLI-18NWS</v>
      </c>
      <c r="B1761" t="str">
        <f>"WLI, Wandleuchte, LED, 18,5W, mit Sensor, neutralweiß, Gehäuse weiß"</f>
        <v>WLI, Wandleuchte, LED, 18,5W, mit Sensor, neutralweiß, Gehäuse weiß</v>
      </c>
      <c r="C1761" t="str">
        <f t="shared" si="87"/>
        <v>161</v>
      </c>
      <c r="D1761" s="1">
        <v>133</v>
      </c>
    </row>
    <row r="1762" spans="1:4" x14ac:dyDescent="0.25">
      <c r="A1762" t="str">
        <f>"WLI-18WW"</f>
        <v>WLI-18WW</v>
      </c>
      <c r="B1762" t="str">
        <f>"WLI, Wandleuchte, LED, 18,5W, 3000K, Gehäuse weiß"</f>
        <v>WLI, Wandleuchte, LED, 18,5W, 3000K, Gehäuse weiß</v>
      </c>
      <c r="C1762" t="str">
        <f t="shared" si="87"/>
        <v>161</v>
      </c>
      <c r="D1762" s="1">
        <v>105</v>
      </c>
    </row>
    <row r="1763" spans="1:4" x14ac:dyDescent="0.25">
      <c r="A1763" t="str">
        <f>"WLI-18WWS"</f>
        <v>WLI-18WWS</v>
      </c>
      <c r="B1763" t="str">
        <f>"WLI, Wandleuchte, LED, 18,5W, mit Sensor, 3000K, Gehäuse weiß"</f>
        <v>WLI, Wandleuchte, LED, 18,5W, mit Sensor, 3000K, Gehäuse weiß</v>
      </c>
      <c r="C1763" t="str">
        <f t="shared" si="87"/>
        <v>161</v>
      </c>
      <c r="D1763" s="1">
        <v>133</v>
      </c>
    </row>
    <row r="1764" spans="1:4" x14ac:dyDescent="0.25">
      <c r="A1764" t="str">
        <f>"WLI-25NW"</f>
        <v>WLI-25NW</v>
      </c>
      <c r="B1764" t="str">
        <f>"WLI, Wandleuchte, LED, 25W, 4000K, Gehäuse weiß"</f>
        <v>WLI, Wandleuchte, LED, 25W, 4000K, Gehäuse weiß</v>
      </c>
      <c r="C1764" t="str">
        <f t="shared" si="87"/>
        <v>161</v>
      </c>
      <c r="D1764" s="1">
        <v>115</v>
      </c>
    </row>
    <row r="1765" spans="1:4" x14ac:dyDescent="0.25">
      <c r="A1765" t="str">
        <f>"WLI-25NW-NT"</f>
        <v>WLI-25NW-NT</v>
      </c>
      <c r="B1765" t="str">
        <f>"WLI, Wandleuchte, LED, 25W, 4000K, mit Notlicht Tridonic 3h"</f>
        <v>WLI, Wandleuchte, LED, 25W, 4000K, mit Notlicht Tridonic 3h</v>
      </c>
      <c r="C1765" t="str">
        <f t="shared" si="87"/>
        <v>161</v>
      </c>
      <c r="D1765" s="1">
        <v>370</v>
      </c>
    </row>
    <row r="1766" spans="1:4" x14ac:dyDescent="0.25">
      <c r="A1766" t="str">
        <f>"WLI-25NWS"</f>
        <v>WLI-25NWS</v>
      </c>
      <c r="B1766" t="str">
        <f>"WLI, Wandleuchte, LED, 25W, mit Sensor, 4000K, Gehäuse weiß"</f>
        <v>WLI, Wandleuchte, LED, 25W, mit Sensor, 4000K, Gehäuse weiß</v>
      </c>
      <c r="C1766" t="str">
        <f t="shared" si="87"/>
        <v>161</v>
      </c>
      <c r="D1766" s="1">
        <v>160</v>
      </c>
    </row>
    <row r="1767" spans="1:4" x14ac:dyDescent="0.25">
      <c r="A1767" t="str">
        <f>"WLI-25WW"</f>
        <v>WLI-25WW</v>
      </c>
      <c r="B1767" t="str">
        <f>"WLI, Wandleuchte, LED, 25W, 3000K, Gehäuse weiß"</f>
        <v>WLI, Wandleuchte, LED, 25W, 3000K, Gehäuse weiß</v>
      </c>
      <c r="C1767" t="str">
        <f t="shared" si="87"/>
        <v>161</v>
      </c>
      <c r="D1767" s="1">
        <v>115</v>
      </c>
    </row>
    <row r="1768" spans="1:4" x14ac:dyDescent="0.25">
      <c r="A1768" t="str">
        <f>"WLI-25WW-NT"</f>
        <v>WLI-25WW-NT</v>
      </c>
      <c r="B1768" t="str">
        <f>"WLI, Wandleuchte, LED, 25W, 3000K, mit Notlicht Tridonic 3h"</f>
        <v>WLI, Wandleuchte, LED, 25W, 3000K, mit Notlicht Tridonic 3h</v>
      </c>
      <c r="C1768" t="str">
        <f t="shared" si="87"/>
        <v>161</v>
      </c>
      <c r="D1768" s="1">
        <v>370</v>
      </c>
    </row>
    <row r="1769" spans="1:4" x14ac:dyDescent="0.25">
      <c r="A1769" t="str">
        <f>"WLI-25WWS"</f>
        <v>WLI-25WWS</v>
      </c>
      <c r="B1769" t="str">
        <f>"WLI, Wandleuchte, LED, 25W, mit Sensor, 3000K, Gehäuse weiß"</f>
        <v>WLI, Wandleuchte, LED, 25W, mit Sensor, 3000K, Gehäuse weiß</v>
      </c>
      <c r="C1769" t="str">
        <f t="shared" si="87"/>
        <v>161</v>
      </c>
      <c r="D1769" s="1">
        <v>160</v>
      </c>
    </row>
    <row r="1770" spans="1:4" x14ac:dyDescent="0.25">
      <c r="A1770" t="str">
        <f>"WLI-31NW"</f>
        <v>WLI-31NW</v>
      </c>
      <c r="B1770" t="str">
        <f>"WLI, Wandleuchte, LED, 31W, 4000K, Gehäuse weiß"</f>
        <v>WLI, Wandleuchte, LED, 31W, 4000K, Gehäuse weiß</v>
      </c>
      <c r="C1770" t="str">
        <f t="shared" si="87"/>
        <v>161</v>
      </c>
      <c r="D1770" s="1">
        <v>140</v>
      </c>
    </row>
    <row r="1771" spans="1:4" x14ac:dyDescent="0.25">
      <c r="A1771" t="str">
        <f>"WLI-31NW-NT"</f>
        <v>WLI-31NW-NT</v>
      </c>
      <c r="B1771" t="str">
        <f>"WLI, Wandleuchte, LED, 31W, 400K, mit Notlicht Tridonic 3h"</f>
        <v>WLI, Wandleuchte, LED, 31W, 400K, mit Notlicht Tridonic 3h</v>
      </c>
      <c r="C1771" t="str">
        <f t="shared" si="87"/>
        <v>161</v>
      </c>
      <c r="D1771" s="1">
        <v>385</v>
      </c>
    </row>
    <row r="1772" spans="1:4" x14ac:dyDescent="0.25">
      <c r="A1772" t="str">
        <f>"WLI-31NWS"</f>
        <v>WLI-31NWS</v>
      </c>
      <c r="B1772" t="str">
        <f>"WLI, Wandleuchte, LED, 31W, mit Sensor, 4000K, Gehäuse weiß"</f>
        <v>WLI, Wandleuchte, LED, 31W, mit Sensor, 4000K, Gehäuse weiß</v>
      </c>
      <c r="C1772" t="str">
        <f t="shared" si="87"/>
        <v>161</v>
      </c>
      <c r="D1772" s="1">
        <v>175</v>
      </c>
    </row>
    <row r="1773" spans="1:4" x14ac:dyDescent="0.25">
      <c r="A1773" t="str">
        <f>"WLI-31WW"</f>
        <v>WLI-31WW</v>
      </c>
      <c r="B1773" t="str">
        <f>"WLI, Wandleuchte, LED, 31W, 3000K, Gehäuse weiß"</f>
        <v>WLI, Wandleuchte, LED, 31W, 3000K, Gehäuse weiß</v>
      </c>
      <c r="C1773" t="str">
        <f t="shared" si="87"/>
        <v>161</v>
      </c>
      <c r="D1773" s="1">
        <v>140</v>
      </c>
    </row>
    <row r="1774" spans="1:4" x14ac:dyDescent="0.25">
      <c r="A1774" t="str">
        <f>"WLI-31WW-NT"</f>
        <v>WLI-31WW-NT</v>
      </c>
      <c r="B1774" t="str">
        <f>"WLI, Wandleuchte, LED, 31W, 3000K, mit Notlicht Tridonic 3h"</f>
        <v>WLI, Wandleuchte, LED, 31W, 3000K, mit Notlicht Tridonic 3h</v>
      </c>
      <c r="C1774" t="str">
        <f t="shared" si="87"/>
        <v>161</v>
      </c>
      <c r="D1774" s="1">
        <v>385</v>
      </c>
    </row>
    <row r="1775" spans="1:4" x14ac:dyDescent="0.25">
      <c r="A1775" t="str">
        <f>"WLI-31WWS"</f>
        <v>WLI-31WWS</v>
      </c>
      <c r="B1775" t="str">
        <f>"WLI, Wandleuchte, LED, 31W, mit Sensor, 3000K, Gehäuse weiß"</f>
        <v>WLI, Wandleuchte, LED, 31W, mit Sensor, 3000K, Gehäuse weiß</v>
      </c>
      <c r="C1775" t="str">
        <f t="shared" si="87"/>
        <v>161</v>
      </c>
      <c r="D1775" s="1">
        <v>175</v>
      </c>
    </row>
    <row r="1776" spans="1:4" x14ac:dyDescent="0.25">
      <c r="A1776" t="str">
        <f>"WLL-18NW"</f>
        <v>WLL-18NW</v>
      </c>
      <c r="B1776" t="str">
        <f>"WLL, Wandleuchte, LED, 18,5W, 4000K, Gehäuse weiß"</f>
        <v>WLL, Wandleuchte, LED, 18,5W, 4000K, Gehäuse weiß</v>
      </c>
      <c r="C1776" t="str">
        <f t="shared" ref="C1776:C1783" si="88">"163"</f>
        <v>163</v>
      </c>
      <c r="D1776" s="1">
        <v>85</v>
      </c>
    </row>
    <row r="1777" spans="1:4" x14ac:dyDescent="0.25">
      <c r="A1777" t="str">
        <f>"WLL-18NWS"</f>
        <v>WLL-18NWS</v>
      </c>
      <c r="B1777" t="str">
        <f>"WLL, Wandleuchte, LED, 18,5W, mit Sensor, 4000K, Gehäuse weiß"</f>
        <v>WLL, Wandleuchte, LED, 18,5W, mit Sensor, 4000K, Gehäuse weiß</v>
      </c>
      <c r="C1777" t="str">
        <f t="shared" si="88"/>
        <v>163</v>
      </c>
      <c r="D1777" s="1">
        <v>125</v>
      </c>
    </row>
    <row r="1778" spans="1:4" x14ac:dyDescent="0.25">
      <c r="A1778" t="str">
        <f>"WLL-18WW"</f>
        <v>WLL-18WW</v>
      </c>
      <c r="B1778" t="str">
        <f>"WLL, Wandleuchte, LED, 18,5W, 3000K, Gehäuse weiß"</f>
        <v>WLL, Wandleuchte, LED, 18,5W, 3000K, Gehäuse weiß</v>
      </c>
      <c r="C1778" t="str">
        <f t="shared" si="88"/>
        <v>163</v>
      </c>
      <c r="D1778" s="1">
        <v>85</v>
      </c>
    </row>
    <row r="1779" spans="1:4" x14ac:dyDescent="0.25">
      <c r="A1779" t="str">
        <f>"WLL-18WWS"</f>
        <v>WLL-18WWS</v>
      </c>
      <c r="B1779" t="str">
        <f>"WLL, Wandleuchte, LED, 18,5W, mit Sensor, 3000K, Gehäuse weiß"</f>
        <v>WLL, Wandleuchte, LED, 18,5W, mit Sensor, 3000K, Gehäuse weiß</v>
      </c>
      <c r="C1779" t="str">
        <f t="shared" si="88"/>
        <v>163</v>
      </c>
      <c r="D1779" s="1">
        <v>125</v>
      </c>
    </row>
    <row r="1780" spans="1:4" x14ac:dyDescent="0.25">
      <c r="A1780" t="str">
        <f>"WLL-25NW"</f>
        <v>WLL-25NW</v>
      </c>
      <c r="B1780" t="str">
        <f>"WLL, Wandleuchte, LED, 24W, 4000K, Gehäuse weiß"</f>
        <v>WLL, Wandleuchte, LED, 24W, 4000K, Gehäuse weiß</v>
      </c>
      <c r="C1780" t="str">
        <f t="shared" si="88"/>
        <v>163</v>
      </c>
      <c r="D1780" s="1">
        <v>95</v>
      </c>
    </row>
    <row r="1781" spans="1:4" x14ac:dyDescent="0.25">
      <c r="A1781" t="str">
        <f>"WLL-25NW-NT"</f>
        <v>WLL-25NW-NT</v>
      </c>
      <c r="B1781" t="str">
        <f>"WLL, Wandleuchte, LED, 24W, 4000K, mit Notlicht 3h von Tridonic"</f>
        <v>WLL, Wandleuchte, LED, 24W, 4000K, mit Notlicht 3h von Tridonic</v>
      </c>
      <c r="C1781" t="str">
        <f t="shared" si="88"/>
        <v>163</v>
      </c>
      <c r="D1781" s="1">
        <v>355</v>
      </c>
    </row>
    <row r="1782" spans="1:4" x14ac:dyDescent="0.25">
      <c r="A1782" t="str">
        <f>"WLL-25NWS"</f>
        <v>WLL-25NWS</v>
      </c>
      <c r="B1782" t="str">
        <f>"WLL, Wandleuchte, LED, 24W, mit Sensor, 4000K, Gehäuse weiß"</f>
        <v>WLL, Wandleuchte, LED, 24W, mit Sensor, 4000K, Gehäuse weiß</v>
      </c>
      <c r="C1782" t="str">
        <f t="shared" si="88"/>
        <v>163</v>
      </c>
      <c r="D1782" s="1">
        <v>135</v>
      </c>
    </row>
    <row r="1783" spans="1:4" x14ac:dyDescent="0.25">
      <c r="A1783" t="str">
        <f>"WLL-25WW"</f>
        <v>WLL-25WW</v>
      </c>
      <c r="B1783" t="str">
        <f>"WLL, Wandleuchte, LED, 25W, 3000K, Gehäuse weiß"</f>
        <v>WLL, Wandleuchte, LED, 25W, 3000K, Gehäuse weiß</v>
      </c>
      <c r="C1783" t="str">
        <f t="shared" si="88"/>
        <v>163</v>
      </c>
      <c r="D1783" s="1">
        <v>95</v>
      </c>
    </row>
    <row r="1784" spans="1:4" x14ac:dyDescent="0.25">
      <c r="A1784" t="str">
        <f>"WLL-25WW-NT"</f>
        <v>WLL-25WW-NT</v>
      </c>
      <c r="B1784" t="str">
        <f>"WLL, Wandleuchte, LED, 24W, 2800K, mit Notlicht 3h von Tridonic"</f>
        <v>WLL, Wandleuchte, LED, 24W, 2800K, mit Notlicht 3h von Tridonic</v>
      </c>
      <c r="C1784" t="str">
        <f>"161i"</f>
        <v>161i</v>
      </c>
      <c r="D1784" s="1">
        <v>355</v>
      </c>
    </row>
    <row r="1785" spans="1:4" x14ac:dyDescent="0.25">
      <c r="A1785" t="str">
        <f>"WLL-25WWS"</f>
        <v>WLL-25WWS</v>
      </c>
      <c r="B1785" t="str">
        <f>"WLL, Wandleuchte, LED, 24W, mit Sensor, 3000K, Gehäuse weiß"</f>
        <v>WLL, Wandleuchte, LED, 24W, mit Sensor, 3000K, Gehäuse weiß</v>
      </c>
      <c r="C1785" t="str">
        <f>"163"</f>
        <v>163</v>
      </c>
      <c r="D1785" s="1">
        <v>135</v>
      </c>
    </row>
    <row r="1786" spans="1:4" x14ac:dyDescent="0.25">
      <c r="A1786" t="str">
        <f>"WLL-31NW"</f>
        <v>WLL-31NW</v>
      </c>
      <c r="B1786" t="str">
        <f>"WLL, Wandleuchte, LED, 30W, 4000K, Gehäuse weiß"</f>
        <v>WLL, Wandleuchte, LED, 30W, 4000K, Gehäuse weiß</v>
      </c>
      <c r="C1786" t="str">
        <f>"163"</f>
        <v>163</v>
      </c>
      <c r="D1786" s="1">
        <v>110</v>
      </c>
    </row>
    <row r="1787" spans="1:4" x14ac:dyDescent="0.25">
      <c r="A1787" t="str">
        <f>"WLL-31NW-NT"</f>
        <v>WLL-31NW-NT</v>
      </c>
      <c r="B1787" t="str">
        <f>"WLL, Wandleuchte, LED, 30W, 4000K, mit Notlicht 3h von Tridonic"</f>
        <v>WLL, Wandleuchte, LED, 30W, 4000K, mit Notlicht 3h von Tridonic</v>
      </c>
      <c r="C1787" t="str">
        <f>"163"</f>
        <v>163</v>
      </c>
      <c r="D1787" s="1">
        <v>370</v>
      </c>
    </row>
    <row r="1788" spans="1:4" x14ac:dyDescent="0.25">
      <c r="A1788" t="str">
        <f>"WLL-31NWS"</f>
        <v>WLL-31NWS</v>
      </c>
      <c r="B1788" t="str">
        <f>"WLL, Wandleuchte, LED, 30W, mit Sensor, 4000K, Gehäuse weiß"</f>
        <v>WLL, Wandleuchte, LED, 30W, mit Sensor, 4000K, Gehäuse weiß</v>
      </c>
      <c r="C1788" t="str">
        <f>"163"</f>
        <v>163</v>
      </c>
      <c r="D1788" s="1">
        <v>155</v>
      </c>
    </row>
    <row r="1789" spans="1:4" x14ac:dyDescent="0.25">
      <c r="A1789" t="str">
        <f>"WLL-31WW"</f>
        <v>WLL-31WW</v>
      </c>
      <c r="B1789" t="str">
        <f>"WLL, Wandleuchte, LED, 30W, 3000K, Gehäuse weiß"</f>
        <v>WLL, Wandleuchte, LED, 30W, 3000K, Gehäuse weiß</v>
      </c>
      <c r="C1789" t="str">
        <f>"163"</f>
        <v>163</v>
      </c>
      <c r="D1789" s="1">
        <v>110</v>
      </c>
    </row>
    <row r="1790" spans="1:4" x14ac:dyDescent="0.25">
      <c r="A1790" t="str">
        <f>"WLL-31WW-NT"</f>
        <v>WLL-31WW-NT</v>
      </c>
      <c r="B1790" t="str">
        <f>"WLL, Wandleuchte, LED, 30W, 3000K, mit Notlicht 3h von Tridonic"</f>
        <v>WLL, Wandleuchte, LED, 30W, 3000K, mit Notlicht 3h von Tridonic</v>
      </c>
      <c r="C1790" t="str">
        <f>"161i"</f>
        <v>161i</v>
      </c>
      <c r="D1790" s="1">
        <v>370</v>
      </c>
    </row>
    <row r="1791" spans="1:4" x14ac:dyDescent="0.25">
      <c r="A1791" t="str">
        <f>"WLL-31WWS"</f>
        <v>WLL-31WWS</v>
      </c>
      <c r="B1791" t="str">
        <f>"WLL, Wandleuchte, LED, 30W, mit Sensor, 3000K, Gehäuse weiß"</f>
        <v>WLL, Wandleuchte, LED, 30W, mit Sensor, 3000K, Gehäuse weiß</v>
      </c>
      <c r="C1791" t="str">
        <f>"161"</f>
        <v>161</v>
      </c>
      <c r="D1791" s="1">
        <v>155</v>
      </c>
    </row>
    <row r="1792" spans="1:4" x14ac:dyDescent="0.25">
      <c r="A1792" t="str">
        <f>"Z-AEN1"</f>
        <v>Z-AEN1</v>
      </c>
      <c r="B1792" t="str">
        <f>"Dekoring flach zu ENR-xx und ENE-xx, chrom gebürstet"</f>
        <v>Dekoring flach zu ENR-xx und ENE-xx, chrom gebürstet</v>
      </c>
      <c r="C1792" t="str">
        <f>"85"</f>
        <v>85</v>
      </c>
      <c r="D1792" s="1">
        <v>4</v>
      </c>
    </row>
    <row r="1793" spans="1:4" x14ac:dyDescent="0.25">
      <c r="A1793" t="str">
        <f>"Z-AEN2"</f>
        <v>Z-AEN2</v>
      </c>
      <c r="B1793" t="str">
        <f>"Dekoring halbhoch zu ENR-xx und ENE-xx, chrom gebürstet"</f>
        <v>Dekoring halbhoch zu ENR-xx und ENE-xx, chrom gebürstet</v>
      </c>
      <c r="C1793" t="str">
        <f>"87"</f>
        <v>87</v>
      </c>
      <c r="D1793" s="1">
        <v>6</v>
      </c>
    </row>
    <row r="1794" spans="1:4" x14ac:dyDescent="0.25">
      <c r="A1794" t="str">
        <f>"Z-AEN3"</f>
        <v>Z-AEN3</v>
      </c>
      <c r="B1794" t="str">
        <f>"Dekoring hoch zu ENR-xx und ENE-xx, chrom gebürstet"</f>
        <v>Dekoring hoch zu ENR-xx und ENE-xx, chrom gebürstet</v>
      </c>
      <c r="C1794" t="str">
        <f>"85i"</f>
        <v>85i</v>
      </c>
      <c r="D1794" s="1">
        <v>6.25</v>
      </c>
    </row>
    <row r="1795" spans="1:4" x14ac:dyDescent="0.25">
      <c r="A1795" t="str">
        <f>"Z-AEN4"</f>
        <v>Z-AEN4</v>
      </c>
      <c r="B1795" t="str">
        <f>"Dekoring halbseitig halbhoch zu ENR-xx und ENE-xx, chrom geb"</f>
        <v>Dekoring halbseitig halbhoch zu ENR-xx und ENE-xx, chrom geb</v>
      </c>
      <c r="C1795" t="str">
        <f>"87"</f>
        <v>87</v>
      </c>
      <c r="D1795" s="1">
        <v>6.25</v>
      </c>
    </row>
    <row r="1796" spans="1:4" x14ac:dyDescent="0.25">
      <c r="A1796" t="str">
        <f>"Z-AEN5"</f>
        <v>Z-AEN5</v>
      </c>
      <c r="B1796" t="str">
        <f>"Dekoring hoch, gelocht zu ENR-xx und ENE-xx, chrom geb."</f>
        <v>Dekoring hoch, gelocht zu ENR-xx und ENE-xx, chrom geb.</v>
      </c>
      <c r="C1796" t="str">
        <f>"87"</f>
        <v>87</v>
      </c>
      <c r="D1796" s="1">
        <v>7.5</v>
      </c>
    </row>
    <row r="1797" spans="1:4" x14ac:dyDescent="0.25">
      <c r="A1797" t="str">
        <f>"Z-AK3POWER"</f>
        <v>Z-AK3POWER</v>
      </c>
      <c r="B1797" t="str">
        <f>"1194 Abblendgitter für K3 POWER Wandaußenleuchte"</f>
        <v>1194 Abblendgitter für K3 POWER Wandaußenleuchte</v>
      </c>
      <c r="C1797" t="str">
        <f>"193"</f>
        <v>193</v>
      </c>
      <c r="D1797" s="1">
        <v>22.5</v>
      </c>
    </row>
    <row r="1798" spans="1:4" x14ac:dyDescent="0.25">
      <c r="A1798" t="str">
        <f>"Z-BCLOCK1206"</f>
        <v>Z-BCLOCK1206</v>
      </c>
      <c r="B1798" t="str">
        <f>"4669GR Blende für CLOCK, Ø 120 mm, graphitgrau"</f>
        <v>4669GR Blende für CLOCK, Ø 120 mm, graphitgrau</v>
      </c>
      <c r="C1798" t="str">
        <f>"217"</f>
        <v>217</v>
      </c>
      <c r="D1798" s="1">
        <v>37</v>
      </c>
    </row>
    <row r="1799" spans="1:4" x14ac:dyDescent="0.25">
      <c r="A1799" t="str">
        <f>"Z-BCLOCK1207"</f>
        <v>Z-BCLOCK1207</v>
      </c>
      <c r="B1799" t="str">
        <f>"4669GM Blende für CLOCK, Ø 120 mm, metallgrau"</f>
        <v>4669GM Blende für CLOCK, Ø 120 mm, metallgrau</v>
      </c>
      <c r="C1799" t="str">
        <f>"217"</f>
        <v>217</v>
      </c>
      <c r="D1799" s="1">
        <v>37</v>
      </c>
    </row>
    <row r="1800" spans="1:4" x14ac:dyDescent="0.25">
      <c r="A1800" t="str">
        <f>"Z-BK3POWER"</f>
        <v>Z-BK3POWER</v>
      </c>
      <c r="B1800" t="str">
        <f>"1191 Befestigungsplatte für Wandaußenleuchte K3 POWER, max. Drehung 90°"</f>
        <v>1191 Befestigungsplatte für Wandaußenleuchte K3 POWER, max. Drehung 90°</v>
      </c>
      <c r="C1800" t="str">
        <f>"193"</f>
        <v>193</v>
      </c>
      <c r="D1800" s="1">
        <v>55</v>
      </c>
    </row>
    <row r="1801" spans="1:4" x14ac:dyDescent="0.25">
      <c r="A1801" t="str">
        <f>"Z-BSM"</f>
        <v>Z-BSM</v>
      </c>
      <c r="B1801" t="str">
        <f>"5696NE Befestigungsbügelpaar für Wand-/Deckenleuchte SuperMaxi, schwarz"</f>
        <v>5696NE Befestigungsbügelpaar für Wand-/Deckenleuchte SuperMaxi, schwarz</v>
      </c>
      <c r="C1801" t="str">
        <f>"199"</f>
        <v>199</v>
      </c>
      <c r="D1801" s="1">
        <v>6</v>
      </c>
    </row>
    <row r="1802" spans="1:4" x14ac:dyDescent="0.25">
      <c r="A1802" t="str">
        <f>"Z-CLICE"</f>
        <v>Z-CLICE</v>
      </c>
      <c r="B1802" t="str">
        <f>"ICE Clips verstellbar, 2clips, 4 Schrauben, edelstahl"</f>
        <v>ICE Clips verstellbar, 2clips, 4 Schrauben, edelstahl</v>
      </c>
      <c r="C1802" t="str">
        <f>"99"</f>
        <v>99</v>
      </c>
      <c r="D1802" s="1">
        <v>7.5</v>
      </c>
    </row>
    <row r="1803" spans="1:4" x14ac:dyDescent="0.25">
      <c r="A1803" t="str">
        <f>"Z-CLICE1"</f>
        <v>Z-CLICE1</v>
      </c>
      <c r="B1803" t="str">
        <f>"ICE Clips U down, Edelstahl"</f>
        <v>ICE Clips U down, Edelstahl</v>
      </c>
      <c r="C1803" t="str">
        <f>"99"</f>
        <v>99</v>
      </c>
      <c r="D1803" s="1">
        <v>5</v>
      </c>
    </row>
    <row r="1804" spans="1:4" x14ac:dyDescent="0.25">
      <c r="A1804" t="str">
        <f>"Z-CLICE2"</f>
        <v>Z-CLICE2</v>
      </c>
      <c r="B1804" t="str">
        <f>"ICE Clips U upside, Edelstahl"</f>
        <v>ICE Clips U upside, Edelstahl</v>
      </c>
      <c r="C1804" t="str">
        <f>"99"</f>
        <v>99</v>
      </c>
      <c r="D1804" s="1">
        <v>3</v>
      </c>
    </row>
    <row r="1805" spans="1:4" x14ac:dyDescent="0.25">
      <c r="A1805" t="str">
        <f>"Z-CLOCK"</f>
        <v>Z-CLOCK</v>
      </c>
      <c r="B1805" t="str">
        <f>"4692GM Wandmontagearm für CLOCK, L= 369 mm, Aluminium"</f>
        <v>4692GM Wandmontagearm für CLOCK, L= 369 mm, Aluminium</v>
      </c>
      <c r="C1805" t="str">
        <f>"217"</f>
        <v>217</v>
      </c>
      <c r="D1805" s="1">
        <v>120</v>
      </c>
    </row>
    <row r="1806" spans="1:4" x14ac:dyDescent="0.25">
      <c r="A1806" t="str">
        <f>"Z-CLOCK6"</f>
        <v>Z-CLOCK6</v>
      </c>
      <c r="B1806" t="str">
        <f>"4692GR Wandmontagearm für CLOCK, L= 369 mm, graphitgrau"</f>
        <v>4692GR Wandmontagearm für CLOCK, L= 369 mm, graphitgrau</v>
      </c>
      <c r="C1806" t="str">
        <f>"217"</f>
        <v>217</v>
      </c>
      <c r="D1806" s="1">
        <v>120</v>
      </c>
    </row>
    <row r="1807" spans="1:4" x14ac:dyDescent="0.25">
      <c r="A1807" t="str">
        <f>"Z-ELEDN"</f>
        <v>Z-ELEDN</v>
      </c>
      <c r="B1807" t="str">
        <f>"Stahlseilabhängung-Set (4 Seilabhängungen) "</f>
        <v xml:space="preserve">Stahlseilabhängung-Set (4 Seilabhängungen) </v>
      </c>
      <c r="C1807" t="str">
        <f>"169"</f>
        <v>169</v>
      </c>
      <c r="D1807" s="1">
        <v>14.25</v>
      </c>
    </row>
    <row r="1808" spans="1:4" x14ac:dyDescent="0.25">
      <c r="A1808" t="str">
        <f>"Z-ELED2-4"</f>
        <v>Z-ELED2-4</v>
      </c>
      <c r="B1808" t="str">
        <f>"Y-Stahlseilabhängung-Set (2 Seilabhängungen) "</f>
        <v xml:space="preserve">Y-Stahlseilabhängung-Set (2 Seilabhängungen) </v>
      </c>
      <c r="C1808" t="str">
        <f>"169"</f>
        <v>169</v>
      </c>
      <c r="D1808" s="1">
        <v>65</v>
      </c>
    </row>
    <row r="1809" spans="1:4" x14ac:dyDescent="0.25">
      <c r="A1809" t="str">
        <f>"Z-ESM"</f>
        <v>Z-ESM</v>
      </c>
      <c r="B1809" t="str">
        <f>"5694NE Einrastdeckel für SUPERMAXI Kabelkanal, schwarz"</f>
        <v>5694NE Einrastdeckel für SUPERMAXI Kabelkanal, schwarz</v>
      </c>
      <c r="C1809" t="str">
        <f>"199"</f>
        <v>199</v>
      </c>
      <c r="D1809" s="1">
        <v>38</v>
      </c>
    </row>
    <row r="1810" spans="1:4" x14ac:dyDescent="0.25">
      <c r="A1810" t="str">
        <f>"Z-FBELEDN"</f>
        <v>Z-FBELEDN</v>
      </c>
      <c r="B1810" t="str">
        <f>"Fernbedienung für ELEDN tunable white"</f>
        <v>Fernbedienung für ELEDN tunable white</v>
      </c>
      <c r="C1810" t="str">
        <f>"165"</f>
        <v>165</v>
      </c>
      <c r="D1810" s="1">
        <v>40</v>
      </c>
    </row>
    <row r="1811" spans="1:4" x14ac:dyDescent="0.25">
      <c r="A1811" t="str">
        <f>"Z-FBFLEXYRGB"</f>
        <v>Z-FBFLEXYRGB</v>
      </c>
      <c r="B1811" t="str">
        <f>"Fernbedienung für FLEXY RGB ohne Batterien"</f>
        <v>Fernbedienung für FLEXY RGB ohne Batterien</v>
      </c>
      <c r="C1811" t="str">
        <f>"121"</f>
        <v>121</v>
      </c>
      <c r="D1811" s="1">
        <v>49</v>
      </c>
    </row>
    <row r="1812" spans="1:4" x14ac:dyDescent="0.25">
      <c r="A1812" t="str">
        <f>"Z-FBFLEXYRGBW"</f>
        <v>Z-FBFLEXYRGBW</v>
      </c>
      <c r="B1812" t="str">
        <f>"Fernbedienung für FLEXY RGB/W ohne Batterien"</f>
        <v>Fernbedienung für FLEXY RGB/W ohne Batterien</v>
      </c>
      <c r="C1812" t="str">
        <f>"121"</f>
        <v>121</v>
      </c>
      <c r="D1812" s="1">
        <v>55</v>
      </c>
    </row>
    <row r="1813" spans="1:4" x14ac:dyDescent="0.25">
      <c r="A1813" t="str">
        <f>"Z-FBFLEXYSSWSCW"</f>
        <v>Z-FBFLEXYSSWSCW</v>
      </c>
      <c r="B1813" t="str">
        <f>"Fernbedienung für FLEXY tunable white ohne Batterien"</f>
        <v>Fernbedienung für FLEXY tunable white ohne Batterien</v>
      </c>
      <c r="C1813" t="str">
        <f>"121"</f>
        <v>121</v>
      </c>
      <c r="D1813" s="1">
        <v>49</v>
      </c>
    </row>
    <row r="1814" spans="1:4" x14ac:dyDescent="0.25">
      <c r="A1814" t="str">
        <f>"Z-FBSPCN-S"</f>
        <v>Z-FBSPCN-S</v>
      </c>
      <c r="B1814" t="str">
        <f>"Fernbedienung für SPCN/SPC Sensor"</f>
        <v>Fernbedienung für SPCN/SPC Sensor</v>
      </c>
      <c r="C1814" t="str">
        <f>"129"</f>
        <v>129</v>
      </c>
      <c r="D1814" s="1">
        <v>55</v>
      </c>
    </row>
    <row r="1815" spans="1:4" x14ac:dyDescent="0.25">
      <c r="A1815" t="str">
        <f>"Z-FK3B"</f>
        <v>Z-FK3B</v>
      </c>
      <c r="B1815" t="str">
        <f>"1096BL Farbfilter für K3 Wandaußenleuchte, 113x108mm, blau"</f>
        <v>1096BL Farbfilter für K3 Wandaußenleuchte, 113x108mm, blau</v>
      </c>
      <c r="C1815" t="str">
        <f>"189"</f>
        <v>189</v>
      </c>
      <c r="D1815" s="1">
        <v>49</v>
      </c>
    </row>
    <row r="1816" spans="1:4" x14ac:dyDescent="0.25">
      <c r="A1816" t="str">
        <f>"Z-FK3GR"</f>
        <v>Z-FK3GR</v>
      </c>
      <c r="B1816" t="str">
        <f>"1096VE Farbfilter für K3 Wandaußenleuchte, 113x108mm, grün"</f>
        <v>1096VE Farbfilter für K3 Wandaußenleuchte, 113x108mm, grün</v>
      </c>
      <c r="C1816" t="str">
        <f>"189"</f>
        <v>189</v>
      </c>
      <c r="D1816" s="1">
        <v>49</v>
      </c>
    </row>
    <row r="1817" spans="1:4" x14ac:dyDescent="0.25">
      <c r="A1817" t="str">
        <f>"Z-FK3O"</f>
        <v>Z-FK3O</v>
      </c>
      <c r="B1817" t="str">
        <f>"1096AR Farbfilter für K3 Wandaußenleuchte, 113x108mm, orange"</f>
        <v>1096AR Farbfilter für K3 Wandaußenleuchte, 113x108mm, orange</v>
      </c>
      <c r="C1817" t="str">
        <f>"189"</f>
        <v>189</v>
      </c>
      <c r="D1817" s="1">
        <v>49</v>
      </c>
    </row>
    <row r="1818" spans="1:4" x14ac:dyDescent="0.25">
      <c r="A1818" t="str">
        <f>"Z-FK3R"</f>
        <v>Z-FK3R</v>
      </c>
      <c r="B1818" t="str">
        <f>"1096RO Farbfilter für K3 Wandaußenleuchte, 113x108mm, rot"</f>
        <v>1096RO Farbfilter für K3 Wandaußenleuchte, 113x108mm, rot</v>
      </c>
      <c r="C1818" t="str">
        <f>"189"</f>
        <v>189</v>
      </c>
      <c r="D1818" s="1">
        <v>49</v>
      </c>
    </row>
    <row r="1819" spans="1:4" x14ac:dyDescent="0.25">
      <c r="A1819" t="str">
        <f>"Z-G2"</f>
        <v>Z-G2</v>
      </c>
      <c r="B1819" t="str">
        <f>"5080NE Gelenkauslegerpaar, Alu, für Small, Midi, Maxi und Supermaxi, schwarz"</f>
        <v>5080NE Gelenkauslegerpaar, Alu, für Small, Midi, Maxi und Supermaxi, schwarz</v>
      </c>
      <c r="C1819" t="str">
        <f>"199"</f>
        <v>199</v>
      </c>
      <c r="D1819" s="1">
        <v>52</v>
      </c>
    </row>
    <row r="1820" spans="1:4" x14ac:dyDescent="0.25">
      <c r="A1820" t="str">
        <f>"Z-G7"</f>
        <v>Z-G7</v>
      </c>
      <c r="B1820" t="str">
        <f>"5080SI Gelenkauslegerpaar, Alu, für Small, Midi, Maxi und Supermaxi, metallgrau"</f>
        <v>5080SI Gelenkauslegerpaar, Alu, für Small, Midi, Maxi und Supermaxi, metallgrau</v>
      </c>
      <c r="C1820" t="str">
        <f>"199"</f>
        <v>199</v>
      </c>
      <c r="D1820" s="1">
        <v>58</v>
      </c>
    </row>
    <row r="1821" spans="1:4" x14ac:dyDescent="0.25">
      <c r="A1821" t="str">
        <f>"Z-HIKIT-CH"</f>
        <v>Z-HIKIT-CH</v>
      </c>
      <c r="B1821" t="str">
        <f>"HV-Halogenfassung, GU10, 230/240V inkl. ca. 160mm Kabelzuleitung"</f>
        <v>HV-Halogenfassung, GU10, 230/240V inkl. ca. 160mm Kabelzuleitung</v>
      </c>
      <c r="C1821" t="str">
        <f>"243"</f>
        <v>243</v>
      </c>
      <c r="D1821" s="1">
        <v>2.5</v>
      </c>
    </row>
    <row r="1822" spans="1:4" x14ac:dyDescent="0.25">
      <c r="A1822" t="str">
        <f>"Z-ICE1000"</f>
        <v>Z-ICE1000</v>
      </c>
      <c r="B1822" t="str">
        <f>"Verbindungskabel für ICE 1000mm lang"</f>
        <v>Verbindungskabel für ICE 1000mm lang</v>
      </c>
      <c r="C1822" t="str">
        <f>"99"</f>
        <v>99</v>
      </c>
      <c r="D1822" s="1">
        <v>11.25</v>
      </c>
    </row>
    <row r="1823" spans="1:4" x14ac:dyDescent="0.25">
      <c r="A1823" t="str">
        <f>"Z-ICE500"</f>
        <v>Z-ICE500</v>
      </c>
      <c r="B1823" t="str">
        <f>"Verbindungskabel für ICE 500mm lang"</f>
        <v>Verbindungskabel für ICE 500mm lang</v>
      </c>
      <c r="C1823" t="str">
        <f>"99"</f>
        <v>99</v>
      </c>
      <c r="D1823" s="1">
        <v>11.25</v>
      </c>
    </row>
    <row r="1824" spans="1:4" x14ac:dyDescent="0.25">
      <c r="A1824" t="str">
        <f>"Z-IHN"</f>
        <v>Z-IHN</v>
      </c>
      <c r="B1824" t="str">
        <f>"Stahlseilaufhängung 3m für Pendelleuchten IHD + IHK"</f>
        <v>Stahlseilaufhängung 3m für Pendelleuchten IHD + IHK</v>
      </c>
      <c r="C1824" t="str">
        <f>"129"</f>
        <v>129</v>
      </c>
      <c r="D1824" s="1">
        <v>20.5</v>
      </c>
    </row>
    <row r="1825" spans="1:4" x14ac:dyDescent="0.25">
      <c r="A1825" t="str">
        <f>"Z-KSM"</f>
        <v>Z-KSM</v>
      </c>
      <c r="B1825" t="str">
        <f>"5692NE Kabelkanal für SuperMaxiLED in Alu L=3200mm, schwarz"</f>
        <v>5692NE Kabelkanal für SuperMaxiLED in Alu L=3200mm, schwarz</v>
      </c>
      <c r="C1825" t="str">
        <f>"199"</f>
        <v>199</v>
      </c>
      <c r="D1825" s="1">
        <v>193</v>
      </c>
    </row>
    <row r="1826" spans="1:4" x14ac:dyDescent="0.25">
      <c r="A1826" t="str">
        <f>"Z-LEST2501"</f>
        <v>Z-LEST2501</v>
      </c>
      <c r="B1826" t="str">
        <f>"Verbindungskabel 250mm für LEST-xx, weiss"</f>
        <v>Verbindungskabel 250mm für LEST-xx, weiss</v>
      </c>
      <c r="C1826" t="str">
        <f>"97"</f>
        <v>97</v>
      </c>
      <c r="D1826" s="1">
        <v>3.75</v>
      </c>
    </row>
    <row r="1827" spans="1:4" x14ac:dyDescent="0.25">
      <c r="A1827" t="str">
        <f>"Z-LEST5001"</f>
        <v>Z-LEST5001</v>
      </c>
      <c r="B1827" t="str">
        <f>"Verbindungskabel 500mm für LEST-xx, weiss"</f>
        <v>Verbindungskabel 500mm für LEST-xx, weiss</v>
      </c>
      <c r="C1827" t="str">
        <f>"97"</f>
        <v>97</v>
      </c>
      <c r="D1827" s="1">
        <v>5</v>
      </c>
    </row>
    <row r="1828" spans="1:4" x14ac:dyDescent="0.25">
      <c r="A1828" t="str">
        <f>"Z-LK3W-1"</f>
        <v>Z-LK3W-1</v>
      </c>
      <c r="B1828" t="str">
        <f>"1091 Linse für 1 Streifen passend für Wandaußenleuchte K3 WRITER"</f>
        <v>1091 Linse für 1 Streifen passend für Wandaußenleuchte K3 WRITER</v>
      </c>
      <c r="C1828" t="str">
        <f>"189"</f>
        <v>189</v>
      </c>
      <c r="D1828" s="1">
        <v>43</v>
      </c>
    </row>
    <row r="1829" spans="1:4" x14ac:dyDescent="0.25">
      <c r="A1829" t="str">
        <f>"Z-LK3W-5"</f>
        <v>Z-LK3W-5</v>
      </c>
      <c r="B1829" t="str">
        <f>"1092 Linse für 5 Streifen passend für Wandaußenleuchte K3 WRITER"</f>
        <v>1092 Linse für 5 Streifen passend für Wandaußenleuchte K3 WRITER</v>
      </c>
      <c r="C1829" t="str">
        <f>"189"</f>
        <v>189</v>
      </c>
      <c r="D1829" s="1">
        <v>41</v>
      </c>
    </row>
    <row r="1830" spans="1:4" x14ac:dyDescent="0.25">
      <c r="A1830" t="str">
        <f>"Z-LR0N"</f>
        <v>Z-LR0N</v>
      </c>
      <c r="B1830" t="str">
        <f>"Montageset zur Anbaumontage für LR-xx, aus Edelstahl, Neu"</f>
        <v>Montageset zur Anbaumontage für LR-xx, aus Edelstahl, Neu</v>
      </c>
      <c r="C1830" t="str">
        <f>"111"</f>
        <v>111</v>
      </c>
      <c r="D1830" s="1">
        <v>41.75</v>
      </c>
    </row>
    <row r="1831" spans="1:4" x14ac:dyDescent="0.25">
      <c r="A1831" t="str">
        <f>"Z-LR1"</f>
        <v>Z-LR1</v>
      </c>
      <c r="B1831" t="str">
        <f>"Montageset zur Anbaumontage für LR-xx, aus Kunststoff"</f>
        <v>Montageset zur Anbaumontage für LR-xx, aus Kunststoff</v>
      </c>
      <c r="C1831" t="str">
        <f>"111"</f>
        <v>111</v>
      </c>
      <c r="D1831" s="1">
        <v>3.75</v>
      </c>
    </row>
    <row r="1832" spans="1:4" x14ac:dyDescent="0.25">
      <c r="A1832" t="str">
        <f>"Z-LR2"</f>
        <v>Z-LR2</v>
      </c>
      <c r="B1832" t="str">
        <f>"Montageset zur Pendelmontage für LR-xx"</f>
        <v>Montageset zur Pendelmontage für LR-xx</v>
      </c>
      <c r="C1832" t="str">
        <f>"111"</f>
        <v>111</v>
      </c>
      <c r="D1832" s="1">
        <v>28.5</v>
      </c>
    </row>
    <row r="1833" spans="1:4" x14ac:dyDescent="0.25">
      <c r="A1833" t="str">
        <f>"Z-LU188"</f>
        <v>Z-LU188</v>
      </c>
      <c r="B1833" t="str">
        <f>"9211 LUNETTE Abstandshalter ø188 mm"</f>
        <v>9211 LUNETTE Abstandshalter ø188 mm</v>
      </c>
      <c r="C1833" t="str">
        <f>"183"</f>
        <v>183</v>
      </c>
      <c r="D1833" s="1">
        <v>34</v>
      </c>
    </row>
    <row r="1834" spans="1:4" x14ac:dyDescent="0.25">
      <c r="A1834" t="str">
        <f>"Z-LU314"</f>
        <v>Z-LU314</v>
      </c>
      <c r="B1834" t="str">
        <f>"9212 LUNETTE Abstandshalter ø314 mm"</f>
        <v>9212 LUNETTE Abstandshalter ø314 mm</v>
      </c>
      <c r="C1834" t="str">
        <f>"183"</f>
        <v>183</v>
      </c>
      <c r="D1834" s="1">
        <v>52.5</v>
      </c>
    </row>
    <row r="1835" spans="1:4" x14ac:dyDescent="0.25">
      <c r="A1835" t="str">
        <f>"Z-MIR"</f>
        <v>Z-MIR</v>
      </c>
      <c r="B1835" t="str">
        <f>"Adapter für Mastmontage von MIRON"</f>
        <v>Adapter für Mastmontage von MIRON</v>
      </c>
      <c r="C1835" t="str">
        <f>"227"</f>
        <v>227</v>
      </c>
      <c r="D1835" s="1">
        <v>0</v>
      </c>
    </row>
    <row r="1836" spans="1:4" x14ac:dyDescent="0.25">
      <c r="A1836" t="str">
        <f>"Z-NAHMAG"</f>
        <v>Z-NAHMAG</v>
      </c>
      <c r="B1836" t="str">
        <f>"Magnetset für NAH bestehend aus 2 Stahlbügel und 4 Schrauben"</f>
        <v>Magnetset für NAH bestehend aus 2 Stahlbügel und 4 Schrauben</v>
      </c>
      <c r="C1836" t="str">
        <f>"101"</f>
        <v>101</v>
      </c>
      <c r="D1836" s="1">
        <v>1.25</v>
      </c>
    </row>
    <row r="1837" spans="1:4" x14ac:dyDescent="0.25">
      <c r="A1837" t="str">
        <f>"Z-NAH1501"</f>
        <v>Z-NAH1501</v>
      </c>
      <c r="B1837" t="str">
        <f>"Verbindungskabel 150mm für NAH-xx, weiss"</f>
        <v>Verbindungskabel 150mm für NAH-xx, weiss</v>
      </c>
      <c r="C1837" t="str">
        <f>"101"</f>
        <v>101</v>
      </c>
      <c r="D1837" s="1">
        <v>7.25</v>
      </c>
    </row>
    <row r="1838" spans="1:4" x14ac:dyDescent="0.25">
      <c r="A1838" t="str">
        <f>"Z-NAH45"</f>
        <v>Z-NAH45</v>
      </c>
      <c r="B1838" t="str">
        <f>"NAH Winkelbügel zur 45° Montage"</f>
        <v>NAH Winkelbügel zur 45° Montage</v>
      </c>
      <c r="C1838" t="str">
        <f>"101"</f>
        <v>101</v>
      </c>
      <c r="D1838" s="1">
        <v>1.5</v>
      </c>
    </row>
    <row r="1839" spans="1:4" x14ac:dyDescent="0.25">
      <c r="A1839" t="str">
        <f>"Z-NAH6001"</f>
        <v>Z-NAH6001</v>
      </c>
      <c r="B1839" t="str">
        <f>"Verbindungskabel 600mm für NAH-xx, weiss"</f>
        <v>Verbindungskabel 600mm für NAH-xx, weiss</v>
      </c>
      <c r="C1839" t="str">
        <f>"101"</f>
        <v>101</v>
      </c>
      <c r="D1839" s="1">
        <v>7.5</v>
      </c>
    </row>
    <row r="1840" spans="1:4" x14ac:dyDescent="0.25">
      <c r="A1840" t="str">
        <f>"Z-PEP1"</f>
        <v>Z-PEP1</v>
      </c>
      <c r="B1840" t="str">
        <f>"PEP Aufsatz angeschrägt, Ø 52mm, schwarz"</f>
        <v>PEP Aufsatz angeschrägt, Ø 52mm, schwarz</v>
      </c>
      <c r="C1840" t="str">
        <f>"38"</f>
        <v>38</v>
      </c>
      <c r="D1840" s="1">
        <v>16</v>
      </c>
    </row>
    <row r="1841" spans="1:4" x14ac:dyDescent="0.25">
      <c r="A1841" t="str">
        <f>"Z-PEP2"</f>
        <v>Z-PEP2</v>
      </c>
      <c r="B1841" t="str">
        <f>"PEP Aufsatz rund, Ø 52mm, schwarz"</f>
        <v>PEP Aufsatz rund, Ø 52mm, schwarz</v>
      </c>
      <c r="C1841" t="str">
        <f>"38"</f>
        <v>38</v>
      </c>
      <c r="D1841" s="1">
        <v>10</v>
      </c>
    </row>
    <row r="1842" spans="1:4" x14ac:dyDescent="0.25">
      <c r="A1842" t="str">
        <f>"Z-PEP3"</f>
        <v>Z-PEP3</v>
      </c>
      <c r="B1842" t="str">
        <f>"PEP Leuchtenring, Ø 52mm, opal"</f>
        <v>PEP Leuchtenring, Ø 52mm, opal</v>
      </c>
      <c r="C1842" t="str">
        <f>"38"</f>
        <v>38</v>
      </c>
      <c r="D1842" s="1">
        <v>5</v>
      </c>
    </row>
    <row r="1843" spans="1:4" x14ac:dyDescent="0.25">
      <c r="A1843" t="str">
        <f>"Z-PMET08"</f>
        <v>Z-PMET08</v>
      </c>
      <c r="B1843" t="str">
        <f>"Säulenelement für Metoo Leuchte, sandbeige"</f>
        <v>Säulenelement für Metoo Leuchte, sandbeige</v>
      </c>
      <c r="C1843" t="str">
        <f>"233"</f>
        <v>233</v>
      </c>
      <c r="D1843" s="1">
        <v>175</v>
      </c>
    </row>
    <row r="1844" spans="1:4" x14ac:dyDescent="0.25">
      <c r="A1844" t="str">
        <f>"Z-PMET6"</f>
        <v>Z-PMET6</v>
      </c>
      <c r="B1844" t="str">
        <f>"Säulenelement für Metoo Leuchte, anthrazit"</f>
        <v>Säulenelement für Metoo Leuchte, anthrazit</v>
      </c>
      <c r="C1844" t="str">
        <f>"233"</f>
        <v>233</v>
      </c>
      <c r="D1844" s="1">
        <v>175</v>
      </c>
    </row>
    <row r="1845" spans="1:4" x14ac:dyDescent="0.25">
      <c r="A1845" t="str">
        <f>"Z-PMET7"</f>
        <v>Z-PMET7</v>
      </c>
      <c r="B1845" t="str">
        <f>"Säulenelement für Metoo Leuchte, alugrau"</f>
        <v>Säulenelement für Metoo Leuchte, alugrau</v>
      </c>
      <c r="C1845" t="str">
        <f>"233"</f>
        <v>233</v>
      </c>
      <c r="D1845" s="1">
        <v>175</v>
      </c>
    </row>
    <row r="1846" spans="1:4" x14ac:dyDescent="0.25">
      <c r="A1846" t="str">
        <f>"Z-RBWL1"</f>
        <v>Z-RBWL1</v>
      </c>
      <c r="B1846" t="str">
        <f>"Ausgleisring BWL AD=186 ID=150, weiß"</f>
        <v>Ausgleisring BWL AD=186 ID=150, weiß</v>
      </c>
      <c r="C1846" t="str">
        <f>"69"</f>
        <v>69</v>
      </c>
      <c r="D1846" s="1">
        <v>17</v>
      </c>
    </row>
    <row r="1847" spans="1:4" x14ac:dyDescent="0.25">
      <c r="A1847" t="str">
        <f>"Z-RBWL2"</f>
        <v>Z-RBWL2</v>
      </c>
      <c r="B1847" t="str">
        <f>"Ausgleisring BWL AD=186 ID=150 , schwarz"</f>
        <v>Ausgleisring BWL AD=186 ID=150 , schwarz</v>
      </c>
      <c r="C1847" t="str">
        <f>"69"</f>
        <v>69</v>
      </c>
      <c r="D1847" s="1">
        <v>17</v>
      </c>
    </row>
    <row r="1848" spans="1:4" x14ac:dyDescent="0.25">
      <c r="A1848" t="str">
        <f>"Z-REFMOD3"</f>
        <v>Z-REFMOD3</v>
      </c>
      <c r="B1848" t="str">
        <f>"Reflektorplatte gold für MOD-3xxx"</f>
        <v>Reflektorplatte gold für MOD-3xxx</v>
      </c>
      <c r="C1848" t="str">
        <f>"229"</f>
        <v>229</v>
      </c>
      <c r="D1848" s="1">
        <v>12.5</v>
      </c>
    </row>
    <row r="1849" spans="1:4" x14ac:dyDescent="0.25">
      <c r="A1849" t="str">
        <f>"Z-REFMOD6"</f>
        <v>Z-REFMOD6</v>
      </c>
      <c r="B1849" t="str">
        <f>"Reflektorplatte gold für MOD-6xxx"</f>
        <v>Reflektorplatte gold für MOD-6xxx</v>
      </c>
      <c r="C1849" t="str">
        <f>"229"</f>
        <v>229</v>
      </c>
      <c r="D1849" s="1">
        <v>15</v>
      </c>
    </row>
    <row r="1850" spans="1:4" x14ac:dyDescent="0.25">
      <c r="A1850" t="str">
        <f>"Z-RERO195"</f>
        <v>Z-RERO195</v>
      </c>
      <c r="B1850" t="str">
        <f>"Ausgleisring ERO-18 AD=190 ID=165 "</f>
        <v xml:space="preserve">Ausgleisring ERO-18 AD=190 ID=165 </v>
      </c>
      <c r="C1850" t="str">
        <f>"61"</f>
        <v>61</v>
      </c>
      <c r="D1850" s="1">
        <v>16</v>
      </c>
    </row>
    <row r="1851" spans="1:4" x14ac:dyDescent="0.25">
      <c r="A1851" t="str">
        <f>"Z-RERO228"</f>
        <v>Z-RERO228</v>
      </c>
      <c r="B1851" t="str">
        <f>"Ausgleisring ERO-18 AD=190 ID=165 "</f>
        <v xml:space="preserve">Ausgleisring ERO-18 AD=190 ID=165 </v>
      </c>
      <c r="C1851" t="str">
        <f>"61"</f>
        <v>61</v>
      </c>
      <c r="D1851" s="1">
        <v>18</v>
      </c>
    </row>
    <row r="1852" spans="1:4" x14ac:dyDescent="0.25">
      <c r="A1852" t="str">
        <f>"Z-RPEP12"</f>
        <v>Z-RPEP12</v>
      </c>
      <c r="B1852" t="str">
        <f>"PEP 12° Reflektor/ Linse, Ø14,8mm"</f>
        <v>PEP 12° Reflektor/ Linse, Ø14,8mm</v>
      </c>
      <c r="C1852" t="str">
        <f>"38"</f>
        <v>38</v>
      </c>
      <c r="D1852" s="1">
        <v>4</v>
      </c>
    </row>
    <row r="1853" spans="1:4" x14ac:dyDescent="0.25">
      <c r="A1853" t="str">
        <f>"Z-RPEP15"</f>
        <v>Z-RPEP15</v>
      </c>
      <c r="B1853" t="str">
        <f>"PEP 15° Reflektor/ Linse, Ø44mm"</f>
        <v>PEP 15° Reflektor/ Linse, Ø44mm</v>
      </c>
      <c r="C1853" t="str">
        <f>"38"</f>
        <v>38</v>
      </c>
      <c r="D1853" s="1">
        <v>4</v>
      </c>
    </row>
    <row r="1854" spans="1:4" x14ac:dyDescent="0.25">
      <c r="A1854" t="str">
        <f>"Z-RPEP30"</f>
        <v>Z-RPEP30</v>
      </c>
      <c r="B1854" t="str">
        <f>"PEP 30° Reflektor/ Linse, Ø44mm"</f>
        <v>PEP 30° Reflektor/ Linse, Ø44mm</v>
      </c>
      <c r="C1854" t="str">
        <f>"38"</f>
        <v>38</v>
      </c>
      <c r="D1854" s="1">
        <v>4</v>
      </c>
    </row>
    <row r="1855" spans="1:4" x14ac:dyDescent="0.25">
      <c r="A1855" t="str">
        <f>"Z-RPEP50"</f>
        <v>Z-RPEP50</v>
      </c>
      <c r="B1855" t="str">
        <f>"PEP 50° Reflektor/ Linse , Ø44mm"</f>
        <v>PEP 50° Reflektor/ Linse , Ø44mm</v>
      </c>
      <c r="C1855" t="str">
        <f>"38"</f>
        <v>38</v>
      </c>
      <c r="D1855" s="1">
        <v>4</v>
      </c>
    </row>
    <row r="1856" spans="1:4" x14ac:dyDescent="0.25">
      <c r="A1856" t="str">
        <f>"Z-SK3WB"</f>
        <v>Z-SK3WB</v>
      </c>
      <c r="B1856" t="str">
        <f>"1093 Blattschablone passend für Wandaußenleuchte K3 WRITER"</f>
        <v>1093 Blattschablone passend für Wandaußenleuchte K3 WRITER</v>
      </c>
      <c r="C1856" t="str">
        <f>"189"</f>
        <v>189</v>
      </c>
      <c r="D1856" s="1">
        <v>15</v>
      </c>
    </row>
    <row r="1857" spans="1:4" x14ac:dyDescent="0.25">
      <c r="A1857" t="str">
        <f>"Z-SK3WF"</f>
        <v>Z-SK3WF</v>
      </c>
      <c r="B1857" t="str">
        <f>"1095 Formscheibe passend für Wandaußenleuchte K3 WRITER"</f>
        <v>1095 Formscheibe passend für Wandaußenleuchte K3 WRITER</v>
      </c>
      <c r="C1857" t="str">
        <f>"189"</f>
        <v>189</v>
      </c>
      <c r="D1857" s="1">
        <v>15</v>
      </c>
    </row>
    <row r="1858" spans="1:4" x14ac:dyDescent="0.25">
      <c r="A1858" t="str">
        <f>"Z-SPCN-S"</f>
        <v>Z-SPCN-S</v>
      </c>
      <c r="B1858" t="str">
        <f>"Tageslichtgesteuerter Präsenzmelder für SPC und SPCN"</f>
        <v>Tageslichtgesteuerter Präsenzmelder für SPC und SPCN</v>
      </c>
      <c r="C1858" t="str">
        <f>"129"</f>
        <v>129</v>
      </c>
      <c r="D1858" s="1">
        <v>115</v>
      </c>
    </row>
    <row r="1859" spans="1:4" x14ac:dyDescent="0.25">
      <c r="A1859" t="str">
        <f>"Z-STAMP103"</f>
        <v>Z-STAMP103</v>
      </c>
      <c r="B1859" t="str">
        <f>"5351 STAMP Abstandshalter 103x103 mm"</f>
        <v>5351 STAMP Abstandshalter 103x103 mm</v>
      </c>
      <c r="C1859" t="str">
        <f>"181"</f>
        <v>181</v>
      </c>
      <c r="D1859" s="1">
        <v>21</v>
      </c>
    </row>
    <row r="1860" spans="1:4" x14ac:dyDescent="0.25">
      <c r="A1860" t="str">
        <f>"Z-STAMP168"</f>
        <v>Z-STAMP168</v>
      </c>
      <c r="B1860" t="str">
        <f>"5352 STAMP Abstandshalter 168x168 mm"</f>
        <v>5352 STAMP Abstandshalter 168x168 mm</v>
      </c>
      <c r="C1860" t="str">
        <f>"181"</f>
        <v>181</v>
      </c>
      <c r="D1860" s="1">
        <v>31</v>
      </c>
    </row>
    <row r="1861" spans="1:4" x14ac:dyDescent="0.25">
      <c r="A1861" t="str">
        <f>"Z-SUSPR"</f>
        <v>Z-SUSPR</v>
      </c>
      <c r="B1861" t="str">
        <f>"Abhängeset für SUN-LED Deckenleuchte 36 und 44W"</f>
        <v>Abhängeset für SUN-LED Deckenleuchte 36 und 44W</v>
      </c>
      <c r="C1861" t="str">
        <f>"171"</f>
        <v>171</v>
      </c>
      <c r="D1861" s="1">
        <v>31.25</v>
      </c>
    </row>
    <row r="1862" spans="1:4" x14ac:dyDescent="0.25">
      <c r="A1862" t="str">
        <f>"Z-S2"</f>
        <v>Z-S2</v>
      </c>
      <c r="B1862" t="str">
        <f>"5091NE Schnappbügel, für Small, Midi, Maxi und Supermaxi, schwarz"</f>
        <v>5091NE Schnappbügel, für Small, Midi, Maxi und Supermaxi, schwarz</v>
      </c>
      <c r="C1862" t="str">
        <f>"199"</f>
        <v>199</v>
      </c>
      <c r="D1862" s="1">
        <v>27</v>
      </c>
    </row>
    <row r="1863" spans="1:4" x14ac:dyDescent="0.25">
      <c r="A1863" t="str">
        <f>"Z-S7"</f>
        <v>Z-S7</v>
      </c>
      <c r="B1863" t="str">
        <f>"5091SI Schnappbügel, für Small, Midi, Maxi und Supermaxi, metallgrau"</f>
        <v>5091SI Schnappbügel, für Small, Midi, Maxi und Supermaxi, metallgrau</v>
      </c>
      <c r="C1863" t="str">
        <f>"199"</f>
        <v>199</v>
      </c>
      <c r="D1863" s="1">
        <v>27</v>
      </c>
    </row>
    <row r="1864" spans="1:4" x14ac:dyDescent="0.25">
      <c r="A1864" t="str">
        <f>"Z-TR6"</f>
        <v>Z-TR6</v>
      </c>
      <c r="B1864" t="str">
        <f>"3322GR Verstellbarer Arm für Triangolo groß, Alu, graphitgrau"</f>
        <v>3322GR Verstellbarer Arm für Triangolo groß, Alu, graphitgrau</v>
      </c>
      <c r="C1864" t="str">
        <f>"197"</f>
        <v>197</v>
      </c>
      <c r="D1864" s="1">
        <v>353</v>
      </c>
    </row>
    <row r="1865" spans="1:4" x14ac:dyDescent="0.25">
      <c r="A1865" t="str">
        <f>"ZUL-ICE1200"</f>
        <v>ZUL-ICE1200</v>
      </c>
      <c r="B1865" t="str">
        <f>"Zuleitung für ICE, Länge: 1200mm"</f>
        <v>Zuleitung für ICE, Länge: 1200mm</v>
      </c>
      <c r="C1865" t="str">
        <f>"99"</f>
        <v>99</v>
      </c>
      <c r="D1865" s="1">
        <v>10.75</v>
      </c>
    </row>
    <row r="1866" spans="1:4" x14ac:dyDescent="0.25">
      <c r="A1866" t="str">
        <f>"ZUL-LEST1800"</f>
        <v>ZUL-LEST1800</v>
      </c>
      <c r="B1866" t="str">
        <f>"Zuleitung 1800mm für LEST-xx, weiss"</f>
        <v>Zuleitung 1800mm für LEST-xx, weiss</v>
      </c>
      <c r="C1866" t="str">
        <f>"97"</f>
        <v>97</v>
      </c>
      <c r="D1866" s="1">
        <v>6.25</v>
      </c>
    </row>
    <row r="1867" spans="1:4" x14ac:dyDescent="0.25">
      <c r="A1867" t="str">
        <f>"ZUL-NAH200"</f>
        <v>ZUL-NAH200</v>
      </c>
      <c r="B1867" t="str">
        <f>"Zuleitung 2000mm für NAH-xx, weiss"</f>
        <v>Zuleitung 2000mm für NAH-xx, weiss</v>
      </c>
      <c r="C1867" t="str">
        <f>"101"</f>
        <v>101</v>
      </c>
      <c r="D1867" s="1">
        <v>6.5</v>
      </c>
    </row>
    <row r="1868" spans="1:4" x14ac:dyDescent="0.25">
      <c r="A1868" t="str">
        <f>"Z-VERIP-DLH2O"</f>
        <v>Z-VERIP-DLH2O</v>
      </c>
      <c r="B1868" t="str">
        <f>"Doppelter Längsverbinder für Außenleuchten, IP68, H2O STOP"</f>
        <v>Doppelter Längsverbinder für Außenleuchten, IP68, H2O STOP</v>
      </c>
      <c r="C1868" t="str">
        <f>"215"</f>
        <v>215</v>
      </c>
      <c r="D1868" s="1">
        <v>45</v>
      </c>
    </row>
    <row r="1869" spans="1:4" x14ac:dyDescent="0.25">
      <c r="A1869" t="str">
        <f>"Z-VERIP-DL2"</f>
        <v>Z-VERIP-DL2</v>
      </c>
      <c r="B1869" t="str">
        <f>"1941 Längsverbinder für Kabel 3x2,5 mm2, IP68"</f>
        <v>1941 Längsverbinder für Kabel 3x2,5 mm2, IP68</v>
      </c>
      <c r="C1869" t="str">
        <f>"217"</f>
        <v>217</v>
      </c>
      <c r="D1869" s="1">
        <v>22.5</v>
      </c>
    </row>
    <row r="1870" spans="1:4" x14ac:dyDescent="0.25">
      <c r="A1870" t="str">
        <f>"Z-VERIP-DL3"</f>
        <v>Z-VERIP-DL3</v>
      </c>
      <c r="B1870" t="str">
        <f>"1942 Y-Verbinder für Kabel 3x2,5 mm2, IP68"</f>
        <v>1942 Y-Verbinder für Kabel 3x2,5 mm2, IP68</v>
      </c>
      <c r="C1870" t="str">
        <f>"219"</f>
        <v>219</v>
      </c>
      <c r="D1870" s="1">
        <v>35</v>
      </c>
    </row>
    <row r="1871" spans="1:4" x14ac:dyDescent="0.25">
      <c r="A1871" t="str">
        <f>"Z-VERIP-L2"</f>
        <v>Z-VERIP-L2</v>
      </c>
      <c r="B1871" t="str">
        <f>"Längsverbinder für Außenleuchten, IP68"</f>
        <v>Längsverbinder für Außenleuchten, IP68</v>
      </c>
      <c r="C1871" t="str">
        <f>"215"</f>
        <v>215</v>
      </c>
      <c r="D1871" s="1">
        <v>22.5</v>
      </c>
    </row>
    <row r="1872" spans="1:4" x14ac:dyDescent="0.25">
      <c r="A1872" t="str">
        <f>"Z-VSM"</f>
        <v>Z-VSM</v>
      </c>
      <c r="B1872" t="str">
        <f>"5693NE Paar Enddeckel für Kabelkanal SuperMaxi, schwarz"</f>
        <v>5693NE Paar Enddeckel für Kabelkanal SuperMaxi, schwarz</v>
      </c>
      <c r="C1872" t="str">
        <f>"199"</f>
        <v>199</v>
      </c>
      <c r="D1872" s="1">
        <v>6</v>
      </c>
    </row>
    <row r="1873" spans="1:4" x14ac:dyDescent="0.25">
      <c r="A1873" t="str">
        <f>"Z-VTBOXPEP01"</f>
        <v>Z-VTBOXPEP01</v>
      </c>
      <c r="B1873" t="str">
        <f>"PEP VT Box, für DC48V Netzteil xx, weiß"</f>
        <v>PEP VT Box, für DC48V Netzteil xx, weiß</v>
      </c>
      <c r="C1873" t="str">
        <f>"37"</f>
        <v>37</v>
      </c>
      <c r="D1873" s="1">
        <v>82.5</v>
      </c>
    </row>
    <row r="1874" spans="1:4" x14ac:dyDescent="0.25">
      <c r="A1874" t="str">
        <f>"Z-VTBOXPEP02"</f>
        <v>Z-VTBOXPEP02</v>
      </c>
      <c r="B1874" t="str">
        <f>"PEP VT Box, für DC48V Netzteil xx, schwarz"</f>
        <v>PEP VT Box, für DC48V Netzteil xx, schwarz</v>
      </c>
      <c r="C1874" t="str">
        <f>"37"</f>
        <v>37</v>
      </c>
      <c r="D1874" s="1">
        <v>82.5</v>
      </c>
    </row>
    <row r="1875" spans="1:4" x14ac:dyDescent="0.25">
      <c r="A1875" t="str">
        <f>"19-201N"</f>
        <v>19-201N</v>
      </c>
      <c r="B1875" t="str">
        <f>"3-Phasen-Hochschiene 2000mm f.Pendel- oder Seilaufhängung, verkehrsweiß"</f>
        <v>3-Phasen-Hochschiene 2000mm f.Pendel- oder Seilaufhängung, verkehrsweiß</v>
      </c>
      <c r="C1875" t="str">
        <f t="shared" ref="C1875:C1883" si="89">"31"</f>
        <v>31</v>
      </c>
      <c r="D1875" s="1">
        <v>115</v>
      </c>
    </row>
    <row r="1876" spans="1:4" x14ac:dyDescent="0.25">
      <c r="A1876" t="str">
        <f>"19-202"</f>
        <v>19-202</v>
      </c>
      <c r="B1876" t="str">
        <f>"3-Phasen-Hochschiene 2000mm f.Pendel- oder Seilaufhängung, schwarz"</f>
        <v>3-Phasen-Hochschiene 2000mm f.Pendel- oder Seilaufhängung, schwarz</v>
      </c>
      <c r="C1876" t="str">
        <f t="shared" si="89"/>
        <v>31</v>
      </c>
      <c r="D1876" s="1">
        <v>115</v>
      </c>
    </row>
    <row r="1877" spans="1:4" x14ac:dyDescent="0.25">
      <c r="A1877" t="str">
        <f>"19-207"</f>
        <v>19-207</v>
      </c>
      <c r="B1877" t="str">
        <f>"3-Phasen-Hochschiene 2000mm f.Pendel- oder Seilaufhängung, silber"</f>
        <v>3-Phasen-Hochschiene 2000mm f.Pendel- oder Seilaufhängung, silber</v>
      </c>
      <c r="C1877" t="str">
        <f t="shared" si="89"/>
        <v>31</v>
      </c>
      <c r="D1877" s="1">
        <v>115</v>
      </c>
    </row>
    <row r="1878" spans="1:4" x14ac:dyDescent="0.25">
      <c r="A1878" t="str">
        <f>"19-301N"</f>
        <v>19-301N</v>
      </c>
      <c r="B1878" t="str">
        <f>"3-Phasen-Hochschiene 3000mm f.Pendelabhängung M13/16 verkehrsweiß"</f>
        <v>3-Phasen-Hochschiene 3000mm f.Pendelabhängung M13/16 verkehrsweiß</v>
      </c>
      <c r="C1878" t="str">
        <f t="shared" si="89"/>
        <v>31</v>
      </c>
      <c r="D1878" s="1">
        <v>162.5</v>
      </c>
    </row>
    <row r="1879" spans="1:4" x14ac:dyDescent="0.25">
      <c r="A1879" t="str">
        <f>"19-302"</f>
        <v>19-302</v>
      </c>
      <c r="B1879" t="str">
        <f>"3-Phasen-Hochschiene 3000mm f.Pendelabhängung M13/16 schwarz"</f>
        <v>3-Phasen-Hochschiene 3000mm f.Pendelabhängung M13/16 schwarz</v>
      </c>
      <c r="C1879" t="str">
        <f t="shared" si="89"/>
        <v>31</v>
      </c>
      <c r="D1879" s="1">
        <v>162.5</v>
      </c>
    </row>
    <row r="1880" spans="1:4" x14ac:dyDescent="0.25">
      <c r="A1880" t="str">
        <f>"19-307"</f>
        <v>19-307</v>
      </c>
      <c r="B1880" t="str">
        <f>"3-Phasen-Hochschiene 3000mm f.Pendelabhängung M13/16 alu-sil"</f>
        <v>3-Phasen-Hochschiene 3000mm f.Pendelabhängung M13/16 alu-sil</v>
      </c>
      <c r="C1880" t="str">
        <f t="shared" si="89"/>
        <v>31</v>
      </c>
      <c r="D1880" s="1">
        <v>162.5</v>
      </c>
    </row>
    <row r="1881" spans="1:4" x14ac:dyDescent="0.25">
      <c r="A1881" t="str">
        <f>"19-401N"</f>
        <v>19-401N</v>
      </c>
      <c r="B1881" t="str">
        <f>"3-Phasen-Hochschiene 4000mm f.Pendelabhängung M13/16 verkehrsweiß"</f>
        <v>3-Phasen-Hochschiene 4000mm f.Pendelabhängung M13/16 verkehrsweiß</v>
      </c>
      <c r="C1881" t="str">
        <f t="shared" si="89"/>
        <v>31</v>
      </c>
      <c r="D1881" s="1">
        <v>215</v>
      </c>
    </row>
    <row r="1882" spans="1:4" x14ac:dyDescent="0.25">
      <c r="A1882" t="str">
        <f>"19-402"</f>
        <v>19-402</v>
      </c>
      <c r="B1882" t="str">
        <f>"3-Phasen-Hochschiene 4000mm f.Pendelabhängung M13/16 schwarz"</f>
        <v>3-Phasen-Hochschiene 4000mm f.Pendelabhängung M13/16 schwarz</v>
      </c>
      <c r="C1882" t="str">
        <f t="shared" si="89"/>
        <v>31</v>
      </c>
      <c r="D1882" s="1">
        <v>215</v>
      </c>
    </row>
    <row r="1883" spans="1:4" x14ac:dyDescent="0.25">
      <c r="A1883" t="str">
        <f>"19-407"</f>
        <v>19-407</v>
      </c>
      <c r="B1883" t="str">
        <f>"3-Phasen-Hochschiene 4000mm f.Pendabhängung M13/16 alu-silb"</f>
        <v>3-Phasen-Hochschiene 4000mm f.Pendabhängung M13/16 alu-silb</v>
      </c>
      <c r="C1883" t="str">
        <f t="shared" si="89"/>
        <v>31</v>
      </c>
      <c r="D1883" s="1">
        <v>215</v>
      </c>
    </row>
    <row r="1884" spans="1:4" x14ac:dyDescent="0.25">
      <c r="A1884" t="str">
        <f>"225-101N"</f>
        <v>225-101N</v>
      </c>
      <c r="B1884" t="str">
        <f>"3-Phasen-Aufbauschiene mit Datenbus, 1m, verkehrsweiß "</f>
        <v xml:space="preserve">3-Phasen-Aufbauschiene mit Datenbus, 1m, verkehrsweiß </v>
      </c>
      <c r="C1884" t="str">
        <f t="shared" ref="C1884:C1895" si="90">"29"</f>
        <v>29</v>
      </c>
      <c r="D1884" s="1">
        <v>57.5</v>
      </c>
    </row>
    <row r="1885" spans="1:4" x14ac:dyDescent="0.25">
      <c r="A1885" t="str">
        <f>"225-102"</f>
        <v>225-102</v>
      </c>
      <c r="B1885" t="str">
        <f>"3-Phasen-Aufbauschiene mit Datenbus, 1m, schwarz "</f>
        <v xml:space="preserve">3-Phasen-Aufbauschiene mit Datenbus, 1m, schwarz </v>
      </c>
      <c r="C1885" t="str">
        <f t="shared" si="90"/>
        <v>29</v>
      </c>
      <c r="D1885" s="1">
        <v>57.5</v>
      </c>
    </row>
    <row r="1886" spans="1:4" x14ac:dyDescent="0.25">
      <c r="A1886" t="str">
        <f>"225-103"</f>
        <v>225-103</v>
      </c>
      <c r="B1886" t="str">
        <f>"3-Phasen-Aufbauschiene mit Datenbus, 1m, silber "</f>
        <v xml:space="preserve">3-Phasen-Aufbauschiene mit Datenbus, 1m, silber </v>
      </c>
      <c r="C1886" t="str">
        <f t="shared" si="90"/>
        <v>29</v>
      </c>
      <c r="D1886" s="1">
        <v>57.5</v>
      </c>
    </row>
    <row r="1887" spans="1:4" x14ac:dyDescent="0.25">
      <c r="A1887" t="str">
        <f>"225-201N"</f>
        <v>225-201N</v>
      </c>
      <c r="B1887" t="str">
        <f>"3-Phasen-Aufbauschiene mit Datenbus, 2m, verkehrsweiß "</f>
        <v xml:space="preserve">3-Phasen-Aufbauschiene mit Datenbus, 2m, verkehrsweiß </v>
      </c>
      <c r="C1887" t="str">
        <f t="shared" si="90"/>
        <v>29</v>
      </c>
      <c r="D1887" s="1">
        <v>100</v>
      </c>
    </row>
    <row r="1888" spans="1:4" x14ac:dyDescent="0.25">
      <c r="A1888" t="str">
        <f>"225-202"</f>
        <v>225-202</v>
      </c>
      <c r="B1888" t="str">
        <f>"3-Phasen-Aufbauschiene mit Datenbus, 2m, schwarz "</f>
        <v xml:space="preserve">3-Phasen-Aufbauschiene mit Datenbus, 2m, schwarz </v>
      </c>
      <c r="C1888" t="str">
        <f t="shared" si="90"/>
        <v>29</v>
      </c>
      <c r="D1888" s="1">
        <v>100</v>
      </c>
    </row>
    <row r="1889" spans="1:4" x14ac:dyDescent="0.25">
      <c r="A1889" t="str">
        <f>"225-203"</f>
        <v>225-203</v>
      </c>
      <c r="B1889" t="str">
        <f>"3-Phasen-Aufbauschiene mit Datenbus, 2m, silber "</f>
        <v xml:space="preserve">3-Phasen-Aufbauschiene mit Datenbus, 2m, silber </v>
      </c>
      <c r="C1889" t="str">
        <f t="shared" si="90"/>
        <v>29</v>
      </c>
      <c r="D1889" s="1">
        <v>100</v>
      </c>
    </row>
    <row r="1890" spans="1:4" x14ac:dyDescent="0.25">
      <c r="A1890" t="str">
        <f>"225-301N"</f>
        <v>225-301N</v>
      </c>
      <c r="B1890" t="str">
        <f>"3-Phasen-Aufbauschiene mit Datenbus, 3m, verkehrsweiß "</f>
        <v xml:space="preserve">3-Phasen-Aufbauschiene mit Datenbus, 3m, verkehrsweiß </v>
      </c>
      <c r="C1890" t="str">
        <f t="shared" si="90"/>
        <v>29</v>
      </c>
      <c r="D1890" s="1">
        <v>150</v>
      </c>
    </row>
    <row r="1891" spans="1:4" x14ac:dyDescent="0.25">
      <c r="A1891" t="str">
        <f>"225-302"</f>
        <v>225-302</v>
      </c>
      <c r="B1891" t="str">
        <f>"3-Phasen-Aufbauschiene mit Datenbus, 3m, schwarz "</f>
        <v xml:space="preserve">3-Phasen-Aufbauschiene mit Datenbus, 3m, schwarz </v>
      </c>
      <c r="C1891" t="str">
        <f t="shared" si="90"/>
        <v>29</v>
      </c>
      <c r="D1891" s="1">
        <v>150</v>
      </c>
    </row>
    <row r="1892" spans="1:4" x14ac:dyDescent="0.25">
      <c r="A1892" t="str">
        <f>"225-303"</f>
        <v>225-303</v>
      </c>
      <c r="B1892" t="str">
        <f>"3-Phasen-Aufbauschiene mit Datenbus, 3m, silber "</f>
        <v xml:space="preserve">3-Phasen-Aufbauschiene mit Datenbus, 3m, silber </v>
      </c>
      <c r="C1892" t="str">
        <f t="shared" si="90"/>
        <v>29</v>
      </c>
      <c r="D1892" s="1">
        <v>150</v>
      </c>
    </row>
    <row r="1893" spans="1:4" x14ac:dyDescent="0.25">
      <c r="A1893" t="str">
        <f>"225-401N"</f>
        <v>225-401N</v>
      </c>
      <c r="B1893" t="str">
        <f>"3-Phasen-Aufbauschiene mit Datenbus, 4m, verkehrsweiß "</f>
        <v xml:space="preserve">3-Phasen-Aufbauschiene mit Datenbus, 4m, verkehrsweiß </v>
      </c>
      <c r="C1893" t="str">
        <f t="shared" si="90"/>
        <v>29</v>
      </c>
      <c r="D1893" s="1">
        <v>200</v>
      </c>
    </row>
    <row r="1894" spans="1:4" x14ac:dyDescent="0.25">
      <c r="A1894" t="str">
        <f>"225-402"</f>
        <v>225-402</v>
      </c>
      <c r="B1894" t="str">
        <f>"3-Phasen-Aufbauschiene mit Datenbus, 4m, schwarz"</f>
        <v>3-Phasen-Aufbauschiene mit Datenbus, 4m, schwarz</v>
      </c>
      <c r="C1894" t="str">
        <f t="shared" si="90"/>
        <v>29</v>
      </c>
      <c r="D1894" s="1">
        <v>200</v>
      </c>
    </row>
    <row r="1895" spans="1:4" x14ac:dyDescent="0.25">
      <c r="A1895" t="str">
        <f>"225-403"</f>
        <v>225-403</v>
      </c>
      <c r="B1895" t="str">
        <f>"3-Phasen-Aufbauschiene mit Datenbus, 4m, silber"</f>
        <v>3-Phasen-Aufbauschiene mit Datenbus, 4m, silber</v>
      </c>
      <c r="C1895" t="str">
        <f t="shared" si="90"/>
        <v>29</v>
      </c>
      <c r="D1895" s="1">
        <v>200</v>
      </c>
    </row>
    <row r="1896" spans="1:4" x14ac:dyDescent="0.25">
      <c r="A1896" t="str">
        <f>"555022171N"</f>
        <v>555022171N</v>
      </c>
      <c r="B1896" t="str">
        <f>"Endkappe für 3~ Hochschiene, verkehrsweiß"</f>
        <v>Endkappe für 3~ Hochschiene, verkehrsweiß</v>
      </c>
      <c r="C1896" t="str">
        <f t="shared" ref="C1896:C1936" si="91">"31"</f>
        <v>31</v>
      </c>
      <c r="D1896" s="1">
        <v>4</v>
      </c>
    </row>
    <row r="1897" spans="1:4" x14ac:dyDescent="0.25">
      <c r="A1897" t="str">
        <f>"555022172"</f>
        <v>555022172</v>
      </c>
      <c r="B1897" t="str">
        <f>"Endkappe für 3~ Hochschiene, schwarz"</f>
        <v>Endkappe für 3~ Hochschiene, schwarz</v>
      </c>
      <c r="C1897" t="str">
        <f t="shared" si="91"/>
        <v>31</v>
      </c>
      <c r="D1897" s="1">
        <v>4</v>
      </c>
    </row>
    <row r="1898" spans="1:4" x14ac:dyDescent="0.25">
      <c r="A1898" t="str">
        <f>"555022177"</f>
        <v>555022177</v>
      </c>
      <c r="B1898" t="str">
        <f>"Endkappe für 3~ Hochschiene, silber"</f>
        <v>Endkappe für 3~ Hochschiene, silber</v>
      </c>
      <c r="C1898" t="str">
        <f t="shared" si="91"/>
        <v>31</v>
      </c>
      <c r="D1898" s="1">
        <v>5</v>
      </c>
    </row>
    <row r="1899" spans="1:4" x14ac:dyDescent="0.25">
      <c r="A1899" t="str">
        <f>"555122011N"</f>
        <v>555122011N</v>
      </c>
      <c r="B1899" t="str">
        <f>"Einspeiser für 3~ Hochschiene, Schutzleiter rechts, verkehrsweiß"</f>
        <v>Einspeiser für 3~ Hochschiene, Schutzleiter rechts, verkehrsweiß</v>
      </c>
      <c r="C1899" t="str">
        <f t="shared" si="91"/>
        <v>31</v>
      </c>
      <c r="D1899" s="1">
        <v>32.5</v>
      </c>
    </row>
    <row r="1900" spans="1:4" x14ac:dyDescent="0.25">
      <c r="A1900" t="str">
        <f>"555122012"</f>
        <v>555122012</v>
      </c>
      <c r="B1900" t="str">
        <f>"Einspeiser für 3~ Hochschiene, Schutzleiter rechts, schwarz"</f>
        <v>Einspeiser für 3~ Hochschiene, Schutzleiter rechts, schwarz</v>
      </c>
      <c r="C1900" t="str">
        <f t="shared" si="91"/>
        <v>31</v>
      </c>
      <c r="D1900" s="1">
        <v>32.5</v>
      </c>
    </row>
    <row r="1901" spans="1:4" x14ac:dyDescent="0.25">
      <c r="A1901" t="str">
        <f>"555122017"</f>
        <v>555122017</v>
      </c>
      <c r="B1901" t="str">
        <f>"Einspeiser für 3~ Hochschiene, Schutzleiter rechts, silber"</f>
        <v>Einspeiser für 3~ Hochschiene, Schutzleiter rechts, silber</v>
      </c>
      <c r="C1901" t="str">
        <f t="shared" si="91"/>
        <v>31</v>
      </c>
      <c r="D1901" s="1">
        <v>37.5</v>
      </c>
    </row>
    <row r="1902" spans="1:4" x14ac:dyDescent="0.25">
      <c r="A1902" t="str">
        <f>"555122021N"</f>
        <v>555122021N</v>
      </c>
      <c r="B1902" t="str">
        <f>"Einspeiser für 3~ Hochschiene, Schutzleiter links verkehrsweiß"</f>
        <v>Einspeiser für 3~ Hochschiene, Schutzleiter links verkehrsweiß</v>
      </c>
      <c r="C1902" t="str">
        <f t="shared" si="91"/>
        <v>31</v>
      </c>
      <c r="D1902" s="1">
        <v>32.5</v>
      </c>
    </row>
    <row r="1903" spans="1:4" x14ac:dyDescent="0.25">
      <c r="A1903" t="str">
        <f>"555122022"</f>
        <v>555122022</v>
      </c>
      <c r="B1903" t="str">
        <f>"Einspeiser für 3~ Hochschiene, Schutzleiter links, schwarz"</f>
        <v>Einspeiser für 3~ Hochschiene, Schutzleiter links, schwarz</v>
      </c>
      <c r="C1903" t="str">
        <f t="shared" si="91"/>
        <v>31</v>
      </c>
      <c r="D1903" s="1">
        <v>32.5</v>
      </c>
    </row>
    <row r="1904" spans="1:4" x14ac:dyDescent="0.25">
      <c r="A1904" t="str">
        <f>"555122027"</f>
        <v>555122027</v>
      </c>
      <c r="B1904" t="str">
        <f>"Einspeiser für 3~ Hochschiene, Schutzleiter links, silber"</f>
        <v>Einspeiser für 3~ Hochschiene, Schutzleiter links, silber</v>
      </c>
      <c r="C1904" t="str">
        <f t="shared" si="91"/>
        <v>31</v>
      </c>
      <c r="D1904" s="1">
        <v>37.5</v>
      </c>
    </row>
    <row r="1905" spans="1:4" x14ac:dyDescent="0.25">
      <c r="A1905" t="str">
        <f>"555122061N"</f>
        <v>555122061N</v>
      </c>
      <c r="B1905" t="str">
        <f>"Elektr. Längsverbinder für 3~ Hochschiene, SL innen, verkehrsweiß"</f>
        <v>Elektr. Längsverbinder für 3~ Hochschiene, SL innen, verkehrsweiß</v>
      </c>
      <c r="C1905" t="str">
        <f t="shared" si="91"/>
        <v>31</v>
      </c>
      <c r="D1905" s="1">
        <v>30</v>
      </c>
    </row>
    <row r="1906" spans="1:4" x14ac:dyDescent="0.25">
      <c r="A1906" t="str">
        <f>"555122062"</f>
        <v>555122062</v>
      </c>
      <c r="B1906" t="str">
        <f>"Elektr. Längsverbinder für 3~ Hochschiene, SL innen, schwarz"</f>
        <v>Elektr. Längsverbinder für 3~ Hochschiene, SL innen, schwarz</v>
      </c>
      <c r="C1906" t="str">
        <f t="shared" si="91"/>
        <v>31</v>
      </c>
      <c r="D1906" s="1">
        <v>30</v>
      </c>
    </row>
    <row r="1907" spans="1:4" x14ac:dyDescent="0.25">
      <c r="A1907" t="str">
        <f>"555122067"</f>
        <v>555122067</v>
      </c>
      <c r="B1907" t="str">
        <f>"Elektr. Längsverbinder für 3~ Hochschiene, SL innen, silber"</f>
        <v>Elektr. Längsverbinder für 3~ Hochschiene, SL innen, silber</v>
      </c>
      <c r="C1907" t="str">
        <f t="shared" si="91"/>
        <v>31</v>
      </c>
      <c r="D1907" s="1">
        <v>32.5</v>
      </c>
    </row>
    <row r="1908" spans="1:4" x14ac:dyDescent="0.25">
      <c r="A1908" t="str">
        <f>"555122081N"</f>
        <v>555122081N</v>
      </c>
      <c r="B1908" t="str">
        <f>"Längverbinder für 3~ Hochschiene, verkehrsweiß"</f>
        <v>Längverbinder für 3~ Hochschiene, verkehrsweiß</v>
      </c>
      <c r="C1908" t="str">
        <f t="shared" si="91"/>
        <v>31</v>
      </c>
      <c r="D1908" s="1">
        <v>45</v>
      </c>
    </row>
    <row r="1909" spans="1:4" x14ac:dyDescent="0.25">
      <c r="A1909" t="str">
        <f>"555122082"</f>
        <v>555122082</v>
      </c>
      <c r="B1909" t="str">
        <f>"Längverbinder für 3~ Hochschiene, schwarz"</f>
        <v>Längverbinder für 3~ Hochschiene, schwarz</v>
      </c>
      <c r="C1909" t="str">
        <f t="shared" si="91"/>
        <v>31</v>
      </c>
      <c r="D1909" s="1">
        <v>45</v>
      </c>
    </row>
    <row r="1910" spans="1:4" x14ac:dyDescent="0.25">
      <c r="A1910" t="str">
        <f>"555122087"</f>
        <v>555122087</v>
      </c>
      <c r="B1910" t="str">
        <f>"Längverbinder für 3~ Hochschiene, silber"</f>
        <v>Längverbinder für 3~ Hochschiene, silber</v>
      </c>
      <c r="C1910" t="str">
        <f t="shared" si="91"/>
        <v>31</v>
      </c>
      <c r="D1910" s="1">
        <v>57.5</v>
      </c>
    </row>
    <row r="1911" spans="1:4" x14ac:dyDescent="0.25">
      <c r="A1911" t="str">
        <f>"555122091N"</f>
        <v>555122091N</v>
      </c>
      <c r="B1911" t="str">
        <f>"L-Verbinder für 3~ Hochschiene, Schutzleiter außen, verkehrsweiß"</f>
        <v>L-Verbinder für 3~ Hochschiene, Schutzleiter außen, verkehrsweiß</v>
      </c>
      <c r="C1911" t="str">
        <f t="shared" si="91"/>
        <v>31</v>
      </c>
      <c r="D1911" s="1">
        <v>45</v>
      </c>
    </row>
    <row r="1912" spans="1:4" x14ac:dyDescent="0.25">
      <c r="A1912" t="str">
        <f>"555122092"</f>
        <v>555122092</v>
      </c>
      <c r="B1912" t="str">
        <f>"L-Verbinder für 3~ Hochschiene, Schutzleiter außen, schwarz"</f>
        <v>L-Verbinder für 3~ Hochschiene, Schutzleiter außen, schwarz</v>
      </c>
      <c r="C1912" t="str">
        <f t="shared" si="91"/>
        <v>31</v>
      </c>
      <c r="D1912" s="1">
        <v>45</v>
      </c>
    </row>
    <row r="1913" spans="1:4" x14ac:dyDescent="0.25">
      <c r="A1913" t="str">
        <f>"555122097"</f>
        <v>555122097</v>
      </c>
      <c r="B1913" t="str">
        <f>"L-Verbinder für 3~ Hochschiene, Schutzleiter außen, silber"</f>
        <v>L-Verbinder für 3~ Hochschiene, Schutzleiter außen, silber</v>
      </c>
      <c r="C1913" t="str">
        <f t="shared" si="91"/>
        <v>31</v>
      </c>
      <c r="D1913" s="1">
        <v>57.5</v>
      </c>
    </row>
    <row r="1914" spans="1:4" x14ac:dyDescent="0.25">
      <c r="A1914" t="str">
        <f>"555122101N"</f>
        <v>555122101N</v>
      </c>
      <c r="B1914" t="str">
        <f>"L-Verbinder für 3~ Hochschiene, Schutzleiter innen, verkehrsweiß"</f>
        <v>L-Verbinder für 3~ Hochschiene, Schutzleiter innen, verkehrsweiß</v>
      </c>
      <c r="C1914" t="str">
        <f t="shared" si="91"/>
        <v>31</v>
      </c>
      <c r="D1914" s="1">
        <v>45</v>
      </c>
    </row>
    <row r="1915" spans="1:4" x14ac:dyDescent="0.25">
      <c r="A1915" t="str">
        <f>"555122102"</f>
        <v>555122102</v>
      </c>
      <c r="B1915" t="str">
        <f>"L-Verbinder für 3~ Hochschiene, Schutzleiter innen, schwarz"</f>
        <v>L-Verbinder für 3~ Hochschiene, Schutzleiter innen, schwarz</v>
      </c>
      <c r="C1915" t="str">
        <f t="shared" si="91"/>
        <v>31</v>
      </c>
      <c r="D1915" s="1">
        <v>45</v>
      </c>
    </row>
    <row r="1916" spans="1:4" x14ac:dyDescent="0.25">
      <c r="A1916" t="str">
        <f>"555122107"</f>
        <v>555122107</v>
      </c>
      <c r="B1916" t="str">
        <f>"L-Verbinder für 3~ Hochschiene, Schutzleiter innen, alugrau"</f>
        <v>L-Verbinder für 3~ Hochschiene, Schutzleiter innen, alugrau</v>
      </c>
      <c r="C1916" t="str">
        <f t="shared" si="91"/>
        <v>31</v>
      </c>
      <c r="D1916" s="1">
        <v>57.5</v>
      </c>
    </row>
    <row r="1917" spans="1:4" x14ac:dyDescent="0.25">
      <c r="A1917" t="str">
        <f>"555122111N"</f>
        <v>555122111N</v>
      </c>
      <c r="B1917" t="str">
        <f>"Flexible Kupplung f. 3~Aufbauschiene, verkehrsweiss"</f>
        <v>Flexible Kupplung f. 3~Aufbauschiene, verkehrsweiss</v>
      </c>
      <c r="C1917" t="str">
        <f t="shared" si="91"/>
        <v>31</v>
      </c>
      <c r="D1917" s="1">
        <v>75</v>
      </c>
    </row>
    <row r="1918" spans="1:4" x14ac:dyDescent="0.25">
      <c r="A1918" t="str">
        <f>"555122112"</f>
        <v>555122112</v>
      </c>
      <c r="B1918" t="str">
        <f>"Flexible Kupplung f. 3~Aufbauschiene, schwarz"</f>
        <v>Flexible Kupplung f. 3~Aufbauschiene, schwarz</v>
      </c>
      <c r="C1918" t="str">
        <f t="shared" si="91"/>
        <v>31</v>
      </c>
      <c r="D1918" s="1">
        <v>75</v>
      </c>
    </row>
    <row r="1919" spans="1:4" x14ac:dyDescent="0.25">
      <c r="A1919" t="str">
        <f>"555122121N"</f>
        <v>555122121N</v>
      </c>
      <c r="B1919" t="str">
        <f>"T-Verbinder für 3~ Hochschiene, SL innen rechts, verkehrsweiß"</f>
        <v>T-Verbinder für 3~ Hochschiene, SL innen rechts, verkehrsweiß</v>
      </c>
      <c r="C1919" t="str">
        <f t="shared" si="91"/>
        <v>31</v>
      </c>
      <c r="D1919" s="1">
        <v>75</v>
      </c>
    </row>
    <row r="1920" spans="1:4" x14ac:dyDescent="0.25">
      <c r="A1920" t="str">
        <f>"555122122"</f>
        <v>555122122</v>
      </c>
      <c r="B1920" t="str">
        <f>"T-Verbinder für 3~ Hochschiene, SL innen rechts, schwarz"</f>
        <v>T-Verbinder für 3~ Hochschiene, SL innen rechts, schwarz</v>
      </c>
      <c r="C1920" t="str">
        <f t="shared" si="91"/>
        <v>31</v>
      </c>
      <c r="D1920" s="1">
        <v>75</v>
      </c>
    </row>
    <row r="1921" spans="1:4" x14ac:dyDescent="0.25">
      <c r="A1921" t="str">
        <f>"555122127"</f>
        <v>555122127</v>
      </c>
      <c r="B1921" t="str">
        <f>"T-Verbinder für 3~ Hochschiene, SL innen rechts, silber"</f>
        <v>T-Verbinder für 3~ Hochschiene, SL innen rechts, silber</v>
      </c>
      <c r="C1921" t="str">
        <f t="shared" si="91"/>
        <v>31</v>
      </c>
      <c r="D1921" s="1">
        <v>122.5</v>
      </c>
    </row>
    <row r="1922" spans="1:4" x14ac:dyDescent="0.25">
      <c r="A1922" t="str">
        <f>"555122131N"</f>
        <v>555122131N</v>
      </c>
      <c r="B1922" t="str">
        <f>"T-Verbinder für 3~ Hochschiene, SL innen links, verkehrsweiß"</f>
        <v>T-Verbinder für 3~ Hochschiene, SL innen links, verkehrsweiß</v>
      </c>
      <c r="C1922" t="str">
        <f t="shared" si="91"/>
        <v>31</v>
      </c>
      <c r="D1922" s="1">
        <v>75</v>
      </c>
    </row>
    <row r="1923" spans="1:4" x14ac:dyDescent="0.25">
      <c r="A1923" t="str">
        <f>"555122132"</f>
        <v>555122132</v>
      </c>
      <c r="B1923" t="str">
        <f>"T-Verbinder für 3~ Hochschiene, SL innen links, schwarz"</f>
        <v>T-Verbinder für 3~ Hochschiene, SL innen links, schwarz</v>
      </c>
      <c r="C1923" t="str">
        <f t="shared" si="91"/>
        <v>31</v>
      </c>
      <c r="D1923" s="1">
        <v>75</v>
      </c>
    </row>
    <row r="1924" spans="1:4" x14ac:dyDescent="0.25">
      <c r="A1924" t="str">
        <f>"555122137"</f>
        <v>555122137</v>
      </c>
      <c r="B1924" t="str">
        <f>"T-Verbinder für 3~ Hochschiene, SL innen links, silber"</f>
        <v>T-Verbinder für 3~ Hochschiene, SL innen links, silber</v>
      </c>
      <c r="C1924" t="str">
        <f t="shared" si="91"/>
        <v>31</v>
      </c>
      <c r="D1924" s="1">
        <v>122.5</v>
      </c>
    </row>
    <row r="1925" spans="1:4" x14ac:dyDescent="0.25">
      <c r="A1925" t="str">
        <f>"555122141N"</f>
        <v>555122141N</v>
      </c>
      <c r="B1925" t="str">
        <f>"T-Verbinder für 3~ Hochschiene, SL außen rechts, verkehrsweiß"</f>
        <v>T-Verbinder für 3~ Hochschiene, SL außen rechts, verkehrsweiß</v>
      </c>
      <c r="C1925" t="str">
        <f t="shared" si="91"/>
        <v>31</v>
      </c>
      <c r="D1925" s="1">
        <v>75</v>
      </c>
    </row>
    <row r="1926" spans="1:4" x14ac:dyDescent="0.25">
      <c r="A1926" t="str">
        <f>"555122142"</f>
        <v>555122142</v>
      </c>
      <c r="B1926" t="str">
        <f>"T-Verbinder für 3~ Hochschiene, SL außen rechts, schwarz"</f>
        <v>T-Verbinder für 3~ Hochschiene, SL außen rechts, schwarz</v>
      </c>
      <c r="C1926" t="str">
        <f t="shared" si="91"/>
        <v>31</v>
      </c>
      <c r="D1926" s="1">
        <v>75</v>
      </c>
    </row>
    <row r="1927" spans="1:4" x14ac:dyDescent="0.25">
      <c r="A1927" t="str">
        <f>"555122147"</f>
        <v>555122147</v>
      </c>
      <c r="B1927" t="str">
        <f>"T-Verbinder für 3~ Hochschiene, SL außen rechts, silber"</f>
        <v>T-Verbinder für 3~ Hochschiene, SL außen rechts, silber</v>
      </c>
      <c r="C1927" t="str">
        <f t="shared" si="91"/>
        <v>31</v>
      </c>
      <c r="D1927" s="1">
        <v>122.5</v>
      </c>
    </row>
    <row r="1928" spans="1:4" x14ac:dyDescent="0.25">
      <c r="A1928" t="str">
        <f>"555122151N"</f>
        <v>555122151N</v>
      </c>
      <c r="B1928" t="str">
        <f>"T-Verbinder für 3~ Hochschiene, SL außen links, verkehrsweiß"</f>
        <v>T-Verbinder für 3~ Hochschiene, SL außen links, verkehrsweiß</v>
      </c>
      <c r="C1928" t="str">
        <f t="shared" si="91"/>
        <v>31</v>
      </c>
      <c r="D1928" s="1">
        <v>75</v>
      </c>
    </row>
    <row r="1929" spans="1:4" x14ac:dyDescent="0.25">
      <c r="A1929" t="str">
        <f>"555122152"</f>
        <v>555122152</v>
      </c>
      <c r="B1929" t="str">
        <f>"T-Verbinder für 3~ Hochschiene, SL außen links, schwarz"</f>
        <v>T-Verbinder für 3~ Hochschiene, SL außen links, schwarz</v>
      </c>
      <c r="C1929" t="str">
        <f t="shared" si="91"/>
        <v>31</v>
      </c>
      <c r="D1929" s="1">
        <v>75</v>
      </c>
    </row>
    <row r="1930" spans="1:4" x14ac:dyDescent="0.25">
      <c r="A1930" t="str">
        <f>"555122157"</f>
        <v>555122157</v>
      </c>
      <c r="B1930" t="str">
        <f>"T-Verbinder für 3~ Hochschiene, SL außen links, silber"</f>
        <v>T-Verbinder für 3~ Hochschiene, SL außen links, silber</v>
      </c>
      <c r="C1930" t="str">
        <f t="shared" si="91"/>
        <v>31</v>
      </c>
      <c r="D1930" s="1">
        <v>122.5</v>
      </c>
    </row>
    <row r="1931" spans="1:4" x14ac:dyDescent="0.25">
      <c r="A1931" t="str">
        <f>"555122161N"</f>
        <v>555122161N</v>
      </c>
      <c r="B1931" t="str">
        <f>"X-Verbinder f. 3~Hochschiene mit Einspeisemöglichkeit, verkehrsweiß"</f>
        <v>X-Verbinder f. 3~Hochschiene mit Einspeisemöglichkeit, verkehrsweiß</v>
      </c>
      <c r="C1931" t="str">
        <f t="shared" si="91"/>
        <v>31</v>
      </c>
      <c r="D1931" s="1">
        <v>92.5</v>
      </c>
    </row>
    <row r="1932" spans="1:4" x14ac:dyDescent="0.25">
      <c r="A1932" t="str">
        <f>"555122162"</f>
        <v>555122162</v>
      </c>
      <c r="B1932" t="str">
        <f>"X-Verbinder f. 3~Hochschiene mit Einspeisemöglichkeit, schwarz"</f>
        <v>X-Verbinder f. 3~Hochschiene mit Einspeisemöglichkeit, schwarz</v>
      </c>
      <c r="C1932" t="str">
        <f t="shared" si="91"/>
        <v>31</v>
      </c>
      <c r="D1932" s="1">
        <v>92.5</v>
      </c>
    </row>
    <row r="1933" spans="1:4" x14ac:dyDescent="0.25">
      <c r="A1933" t="str">
        <f>"555122167"</f>
        <v>555122167</v>
      </c>
      <c r="B1933" t="str">
        <f>"X-Verbinder f. 3~Hochschiene mit Einspeisemöglichkeit, silber"</f>
        <v>X-Verbinder f. 3~Hochschiene mit Einspeisemöglichkeit, silber</v>
      </c>
      <c r="C1933" t="str">
        <f t="shared" si="91"/>
        <v>31</v>
      </c>
      <c r="D1933" s="1">
        <v>127.5</v>
      </c>
    </row>
    <row r="1934" spans="1:4" x14ac:dyDescent="0.25">
      <c r="A1934" t="str">
        <f>"555152031N"</f>
        <v>555152031N</v>
      </c>
      <c r="B1934" t="str">
        <f>"Mitteleinspeiser f. 3~Aufbau-, Einbau- u.Hochs., verkehrsweiss"</f>
        <v>Mitteleinspeiser f. 3~Aufbau-, Einbau- u.Hochs., verkehrsweiss</v>
      </c>
      <c r="C1934" t="str">
        <f t="shared" si="91"/>
        <v>31</v>
      </c>
      <c r="D1934" s="1">
        <v>27.5</v>
      </c>
    </row>
    <row r="1935" spans="1:4" x14ac:dyDescent="0.25">
      <c r="A1935" t="str">
        <f>"555152032"</f>
        <v>555152032</v>
      </c>
      <c r="B1935" t="str">
        <f>"Mitteleinspeiser f. 3~Aufbau-, Einbau- u.Hochs., schwarz"</f>
        <v>Mitteleinspeiser f. 3~Aufbau-, Einbau- u.Hochs., schwarz</v>
      </c>
      <c r="C1935" t="str">
        <f t="shared" si="91"/>
        <v>31</v>
      </c>
      <c r="D1935" s="1">
        <v>27.5</v>
      </c>
    </row>
    <row r="1936" spans="1:4" x14ac:dyDescent="0.25">
      <c r="A1936" t="str">
        <f>"555152037"</f>
        <v>555152037</v>
      </c>
      <c r="B1936" t="str">
        <f>"Mitteleinspeiser f. 3~Aufbau-, Einbau- u.Hochs., schwarz"</f>
        <v>Mitteleinspeiser f. 3~Aufbau-, Einbau- u.Hochs., schwarz</v>
      </c>
      <c r="C1936" t="str">
        <f t="shared" si="91"/>
        <v>31</v>
      </c>
      <c r="D1936" s="1">
        <v>33.75</v>
      </c>
    </row>
    <row r="1937" spans="1:4" x14ac:dyDescent="0.25">
      <c r="A1937" t="str">
        <f>"555212011N"</f>
        <v>555212011N</v>
      </c>
      <c r="B1937" t="str">
        <f>"Einspeiser mit Bus f. 3~Aufbauschiene, SL rechts, verkehrsweiß"</f>
        <v>Einspeiser mit Bus f. 3~Aufbauschiene, SL rechts, verkehrsweiß</v>
      </c>
      <c r="C1937" t="str">
        <f t="shared" ref="C1937:C1975" si="92">"29"</f>
        <v>29</v>
      </c>
      <c r="D1937" s="1">
        <v>25</v>
      </c>
    </row>
    <row r="1938" spans="1:4" x14ac:dyDescent="0.25">
      <c r="A1938" t="str">
        <f>"555212012"</f>
        <v>555212012</v>
      </c>
      <c r="B1938" t="str">
        <f>"Einspeiser mit Bus f. 3~Aufbauschiene, SL rechts, schwarz"</f>
        <v>Einspeiser mit Bus f. 3~Aufbauschiene, SL rechts, schwarz</v>
      </c>
      <c r="C1938" t="str">
        <f t="shared" si="92"/>
        <v>29</v>
      </c>
      <c r="D1938" s="1">
        <v>25</v>
      </c>
    </row>
    <row r="1939" spans="1:4" x14ac:dyDescent="0.25">
      <c r="A1939" t="str">
        <f>"555212017"</f>
        <v>555212017</v>
      </c>
      <c r="B1939" t="str">
        <f>"Einspeiser mit Bus f. 3~Aufbauschiene, SL rechts, silber"</f>
        <v>Einspeiser mit Bus f. 3~Aufbauschiene, SL rechts, silber</v>
      </c>
      <c r="C1939" t="str">
        <f t="shared" si="92"/>
        <v>29</v>
      </c>
      <c r="D1939" s="1">
        <v>30</v>
      </c>
    </row>
    <row r="1940" spans="1:4" x14ac:dyDescent="0.25">
      <c r="A1940" t="str">
        <f>"555212021N"</f>
        <v>555212021N</v>
      </c>
      <c r="B1940" t="str">
        <f>"Einspeiser mit Bus f. 3~Aufbauschiene, SL links, verkehrsweiß"</f>
        <v>Einspeiser mit Bus f. 3~Aufbauschiene, SL links, verkehrsweiß</v>
      </c>
      <c r="C1940" t="str">
        <f t="shared" si="92"/>
        <v>29</v>
      </c>
      <c r="D1940" s="1">
        <v>25</v>
      </c>
    </row>
    <row r="1941" spans="1:4" x14ac:dyDescent="0.25">
      <c r="A1941" t="str">
        <f>"555212022"</f>
        <v>555212022</v>
      </c>
      <c r="B1941" t="str">
        <f>"Einspeiser mit Bus f. 3~Aufbauschiene, SL links, schwarz"</f>
        <v>Einspeiser mit Bus f. 3~Aufbauschiene, SL links, schwarz</v>
      </c>
      <c r="C1941" t="str">
        <f t="shared" si="92"/>
        <v>29</v>
      </c>
      <c r="D1941" s="1">
        <v>25</v>
      </c>
    </row>
    <row r="1942" spans="1:4" x14ac:dyDescent="0.25">
      <c r="A1942" t="str">
        <f>"555212027"</f>
        <v>555212027</v>
      </c>
      <c r="B1942" t="str">
        <f>"Einspeiser mit Bus f. 3~Aufbauschiene, SL links, silber"</f>
        <v>Einspeiser mit Bus f. 3~Aufbauschiene, SL links, silber</v>
      </c>
      <c r="C1942" t="str">
        <f t="shared" si="92"/>
        <v>29</v>
      </c>
      <c r="D1942" s="1">
        <v>30</v>
      </c>
    </row>
    <row r="1943" spans="1:4" x14ac:dyDescent="0.25">
      <c r="A1943" t="str">
        <f>"555212061N"</f>
        <v>555212061N</v>
      </c>
      <c r="B1943" t="str">
        <f>"Elektr. Längsverbinder m. Bus f. 3~Aufbaus. innenli., verkehrsweiß"</f>
        <v>Elektr. Längsverbinder m. Bus f. 3~Aufbaus. innenli., verkehrsweiß</v>
      </c>
      <c r="C1943" t="str">
        <f t="shared" si="92"/>
        <v>29</v>
      </c>
      <c r="D1943" s="1">
        <v>21.75</v>
      </c>
    </row>
    <row r="1944" spans="1:4" x14ac:dyDescent="0.25">
      <c r="A1944" t="str">
        <f>"555212062"</f>
        <v>555212062</v>
      </c>
      <c r="B1944" t="str">
        <f>"Elektr. Längsverbinder m. Bus f. 3~Aufbaus. innenli.,schwarz"</f>
        <v>Elektr. Längsverbinder m. Bus f. 3~Aufbaus. innenli.,schwarz</v>
      </c>
      <c r="C1944" t="str">
        <f t="shared" si="92"/>
        <v>29</v>
      </c>
      <c r="D1944" s="1">
        <v>21.75</v>
      </c>
    </row>
    <row r="1945" spans="1:4" x14ac:dyDescent="0.25">
      <c r="A1945" t="str">
        <f>"555212067"</f>
        <v>555212067</v>
      </c>
      <c r="B1945" t="str">
        <f>"Elektr. Längsverbinder m. Bus f. 3~Aufbaus. innenli., silber"</f>
        <v>Elektr. Längsverbinder m. Bus f. 3~Aufbaus. innenli., silber</v>
      </c>
      <c r="C1945" t="str">
        <f t="shared" si="92"/>
        <v>29</v>
      </c>
      <c r="D1945" s="1">
        <v>25</v>
      </c>
    </row>
    <row r="1946" spans="1:4" x14ac:dyDescent="0.25">
      <c r="A1946" t="str">
        <f>"555212081N"</f>
        <v>555212081N</v>
      </c>
      <c r="B1946" t="str">
        <f>"Längsverbinder mit Datenbus für 3~Aufbauschiene, verkehrsweiß"</f>
        <v>Längsverbinder mit Datenbus für 3~Aufbauschiene, verkehrsweiß</v>
      </c>
      <c r="C1946" t="str">
        <f t="shared" si="92"/>
        <v>29</v>
      </c>
      <c r="D1946" s="1">
        <v>60</v>
      </c>
    </row>
    <row r="1947" spans="1:4" x14ac:dyDescent="0.25">
      <c r="A1947" t="str">
        <f>"555212082"</f>
        <v>555212082</v>
      </c>
      <c r="B1947" t="str">
        <f>"Längsverbinder mit Datenbus für 3~Aufbauschiene, schwarz"</f>
        <v>Längsverbinder mit Datenbus für 3~Aufbauschiene, schwarz</v>
      </c>
      <c r="C1947" t="str">
        <f t="shared" si="92"/>
        <v>29</v>
      </c>
      <c r="D1947" s="1">
        <v>60</v>
      </c>
    </row>
    <row r="1948" spans="1:4" x14ac:dyDescent="0.25">
      <c r="A1948" t="str">
        <f>"555212087"</f>
        <v>555212087</v>
      </c>
      <c r="B1948" t="str">
        <f>"Längsverbinder mit Datenbus für 3~Aufbauschiene, silber"</f>
        <v>Längsverbinder mit Datenbus für 3~Aufbauschiene, silber</v>
      </c>
      <c r="C1948" t="str">
        <f t="shared" si="92"/>
        <v>29</v>
      </c>
      <c r="D1948" s="1">
        <v>75</v>
      </c>
    </row>
    <row r="1949" spans="1:4" x14ac:dyDescent="0.25">
      <c r="A1949" t="str">
        <f>"555212091N"</f>
        <v>555212091N</v>
      </c>
      <c r="B1949" t="str">
        <f>"L-Verbinder mit BUS f. 3~Aufbauschiene, SL außen, verkehrsweiß"</f>
        <v>L-Verbinder mit BUS f. 3~Aufbauschiene, SL außen, verkehrsweiß</v>
      </c>
      <c r="C1949" t="str">
        <f t="shared" si="92"/>
        <v>29</v>
      </c>
      <c r="D1949" s="1">
        <v>60</v>
      </c>
    </row>
    <row r="1950" spans="1:4" x14ac:dyDescent="0.25">
      <c r="A1950" t="str">
        <f>"555212092"</f>
        <v>555212092</v>
      </c>
      <c r="B1950" t="str">
        <f>"L-Verbinder mit BUS f. 3~Aufbauschiene, SL außen, schwarz"</f>
        <v>L-Verbinder mit BUS f. 3~Aufbauschiene, SL außen, schwarz</v>
      </c>
      <c r="C1950" t="str">
        <f t="shared" si="92"/>
        <v>29</v>
      </c>
      <c r="D1950" s="1">
        <v>60</v>
      </c>
    </row>
    <row r="1951" spans="1:4" x14ac:dyDescent="0.25">
      <c r="A1951" t="str">
        <f>"555212097"</f>
        <v>555212097</v>
      </c>
      <c r="B1951" t="str">
        <f>"L-Verbinder mit BUS f. 3~Aufbauschiene, SL außen, silber"</f>
        <v>L-Verbinder mit BUS f. 3~Aufbauschiene, SL außen, silber</v>
      </c>
      <c r="C1951" t="str">
        <f t="shared" si="92"/>
        <v>29</v>
      </c>
      <c r="D1951" s="1">
        <v>72.5</v>
      </c>
    </row>
    <row r="1952" spans="1:4" x14ac:dyDescent="0.25">
      <c r="A1952" t="str">
        <f>"555212101N"</f>
        <v>555212101N</v>
      </c>
      <c r="B1952" t="str">
        <f>"L-Verbinder mit BUS f. 3~Aufbauschiene, SL innen, verkehrsweiß"</f>
        <v>L-Verbinder mit BUS f. 3~Aufbauschiene, SL innen, verkehrsweiß</v>
      </c>
      <c r="C1952" t="str">
        <f t="shared" si="92"/>
        <v>29</v>
      </c>
      <c r="D1952" s="1">
        <v>60</v>
      </c>
    </row>
    <row r="1953" spans="1:4" x14ac:dyDescent="0.25">
      <c r="A1953" t="str">
        <f>"555212102"</f>
        <v>555212102</v>
      </c>
      <c r="B1953" t="str">
        <f>"L-Verbinder mit BUS f. 3~Aufbauschiene, SL innen, schwarz"</f>
        <v>L-Verbinder mit BUS f. 3~Aufbauschiene, SL innen, schwarz</v>
      </c>
      <c r="C1953" t="str">
        <f t="shared" si="92"/>
        <v>29</v>
      </c>
      <c r="D1953" s="1">
        <v>60</v>
      </c>
    </row>
    <row r="1954" spans="1:4" x14ac:dyDescent="0.25">
      <c r="A1954" t="str">
        <f>"555212107"</f>
        <v>555212107</v>
      </c>
      <c r="B1954" t="str">
        <f>"L-Verbinder mit BUS f. 3~Aufbauschiene, SL innen, silber"</f>
        <v>L-Verbinder mit BUS f. 3~Aufbauschiene, SL innen, silber</v>
      </c>
      <c r="C1954" t="str">
        <f t="shared" si="92"/>
        <v>29</v>
      </c>
      <c r="D1954" s="1">
        <v>72.5</v>
      </c>
    </row>
    <row r="1955" spans="1:4" x14ac:dyDescent="0.25">
      <c r="A1955" t="str">
        <f>"555212111N"</f>
        <v>555212111N</v>
      </c>
      <c r="B1955" t="str">
        <f>"Flexible Kupplung mit Datenbus f. 3~Aufbauschiene, verkehrsweiß"</f>
        <v>Flexible Kupplung mit Datenbus f. 3~Aufbauschiene, verkehrsweiß</v>
      </c>
      <c r="C1955" t="str">
        <f t="shared" si="92"/>
        <v>29</v>
      </c>
      <c r="D1955" s="1">
        <v>65</v>
      </c>
    </row>
    <row r="1956" spans="1:4" x14ac:dyDescent="0.25">
      <c r="A1956" t="str">
        <f>"555212112"</f>
        <v>555212112</v>
      </c>
      <c r="B1956" t="str">
        <f>"Flexible Kupplung mit Datenbus f. 3~Aufbauschiene, schwarz"</f>
        <v>Flexible Kupplung mit Datenbus f. 3~Aufbauschiene, schwarz</v>
      </c>
      <c r="C1956" t="str">
        <f t="shared" si="92"/>
        <v>29</v>
      </c>
      <c r="D1956" s="1">
        <v>65</v>
      </c>
    </row>
    <row r="1957" spans="1:4" x14ac:dyDescent="0.25">
      <c r="A1957" t="str">
        <f>"555212118"</f>
        <v>555212118</v>
      </c>
      <c r="B1957" t="str">
        <f>"Flexible Kupplung mit Datenbus f. 3~Aufbauschiene, grau "</f>
        <v xml:space="preserve">Flexible Kupplung mit Datenbus f. 3~Aufbauschiene, grau </v>
      </c>
      <c r="C1957" t="str">
        <f t="shared" si="92"/>
        <v>29</v>
      </c>
      <c r="D1957" s="1">
        <v>65</v>
      </c>
    </row>
    <row r="1958" spans="1:4" x14ac:dyDescent="0.25">
      <c r="A1958" t="str">
        <f>"555212121N"</f>
        <v>555212121N</v>
      </c>
      <c r="B1958" t="str">
        <f>"T-Verbinder m. Datenbus f. 3~Aufbauschiene, SL innen, rechts"</f>
        <v>T-Verbinder m. Datenbus f. 3~Aufbauschiene, SL innen, rechts</v>
      </c>
      <c r="C1958" t="str">
        <f t="shared" si="92"/>
        <v>29</v>
      </c>
      <c r="D1958" s="1">
        <v>90</v>
      </c>
    </row>
    <row r="1959" spans="1:4" x14ac:dyDescent="0.25">
      <c r="A1959" t="str">
        <f>"555212122"</f>
        <v>555212122</v>
      </c>
      <c r="B1959" t="str">
        <f>"T-Verbinder m. Datenbus f. 3~Aufbauschiene, SL innen, rechts"</f>
        <v>T-Verbinder m. Datenbus f. 3~Aufbauschiene, SL innen, rechts</v>
      </c>
      <c r="C1959" t="str">
        <f t="shared" si="92"/>
        <v>29</v>
      </c>
      <c r="D1959" s="1">
        <v>90</v>
      </c>
    </row>
    <row r="1960" spans="1:4" x14ac:dyDescent="0.25">
      <c r="A1960" t="str">
        <f>"555212127"</f>
        <v>555212127</v>
      </c>
      <c r="B1960" t="str">
        <f>"T-Verbinder m. Datenbus f. 3~Aufbauschiene, SL innen, rechts"</f>
        <v>T-Verbinder m. Datenbus f. 3~Aufbauschiene, SL innen, rechts</v>
      </c>
      <c r="C1960" t="str">
        <f t="shared" si="92"/>
        <v>29</v>
      </c>
      <c r="D1960" s="1">
        <v>110</v>
      </c>
    </row>
    <row r="1961" spans="1:4" x14ac:dyDescent="0.25">
      <c r="A1961" t="str">
        <f>"555212131N"</f>
        <v>555212131N</v>
      </c>
      <c r="B1961" t="str">
        <f>"T-Verbinder m. Datenbus f. 3~Aufbauschiene, SL innen, links"</f>
        <v>T-Verbinder m. Datenbus f. 3~Aufbauschiene, SL innen, links</v>
      </c>
      <c r="C1961" t="str">
        <f t="shared" si="92"/>
        <v>29</v>
      </c>
      <c r="D1961" s="1">
        <v>90</v>
      </c>
    </row>
    <row r="1962" spans="1:4" x14ac:dyDescent="0.25">
      <c r="A1962" t="str">
        <f>"555212132"</f>
        <v>555212132</v>
      </c>
      <c r="B1962" t="str">
        <f>"T-Verbinder m. Datenbus f. 3~Aufbauschiene, SL innen, links"</f>
        <v>T-Verbinder m. Datenbus f. 3~Aufbauschiene, SL innen, links</v>
      </c>
      <c r="C1962" t="str">
        <f t="shared" si="92"/>
        <v>29</v>
      </c>
      <c r="D1962" s="1">
        <v>90</v>
      </c>
    </row>
    <row r="1963" spans="1:4" x14ac:dyDescent="0.25">
      <c r="A1963" t="str">
        <f>"555212137"</f>
        <v>555212137</v>
      </c>
      <c r="B1963" t="str">
        <f>"T-Verbinder m. Datenbus f. 3~Aufbauschiene, SL innen, links"</f>
        <v>T-Verbinder m. Datenbus f. 3~Aufbauschiene, SL innen, links</v>
      </c>
      <c r="C1963" t="str">
        <f t="shared" si="92"/>
        <v>29</v>
      </c>
      <c r="D1963" s="1">
        <v>110</v>
      </c>
    </row>
    <row r="1964" spans="1:4" x14ac:dyDescent="0.25">
      <c r="A1964" t="str">
        <f>"555212141N"</f>
        <v>555212141N</v>
      </c>
      <c r="B1964" t="str">
        <f>"T-Verbinder m. Datenbus f. 3~Aufbauschiene, SL außen, rechts"</f>
        <v>T-Verbinder m. Datenbus f. 3~Aufbauschiene, SL außen, rechts</v>
      </c>
      <c r="C1964" t="str">
        <f t="shared" si="92"/>
        <v>29</v>
      </c>
      <c r="D1964" s="1">
        <v>90</v>
      </c>
    </row>
    <row r="1965" spans="1:4" x14ac:dyDescent="0.25">
      <c r="A1965" t="str">
        <f>"555212142"</f>
        <v>555212142</v>
      </c>
      <c r="B1965" t="str">
        <f>"T-Verbinder m. Datenbus f. 3~Aufbauschiene, SL außen, rechts"</f>
        <v>T-Verbinder m. Datenbus f. 3~Aufbauschiene, SL außen, rechts</v>
      </c>
      <c r="C1965" t="str">
        <f t="shared" si="92"/>
        <v>29</v>
      </c>
      <c r="D1965" s="1">
        <v>90</v>
      </c>
    </row>
    <row r="1966" spans="1:4" x14ac:dyDescent="0.25">
      <c r="A1966" t="str">
        <f>"555212147"</f>
        <v>555212147</v>
      </c>
      <c r="B1966" t="str">
        <f>"T-Verbinder m. Datenbus f. 3~Aufbauschiene, SL außen, rechts"</f>
        <v>T-Verbinder m. Datenbus f. 3~Aufbauschiene, SL außen, rechts</v>
      </c>
      <c r="C1966" t="str">
        <f t="shared" si="92"/>
        <v>29</v>
      </c>
      <c r="D1966" s="1">
        <v>110</v>
      </c>
    </row>
    <row r="1967" spans="1:4" x14ac:dyDescent="0.25">
      <c r="A1967" t="str">
        <f>"555212151N"</f>
        <v>555212151N</v>
      </c>
      <c r="B1967" t="str">
        <f>"T-Verbinder m. Datenbus f. 3~Aufbauschiene, SL außen, links"</f>
        <v>T-Verbinder m. Datenbus f. 3~Aufbauschiene, SL außen, links</v>
      </c>
      <c r="C1967" t="str">
        <f t="shared" si="92"/>
        <v>29</v>
      </c>
      <c r="D1967" s="1">
        <v>90</v>
      </c>
    </row>
    <row r="1968" spans="1:4" x14ac:dyDescent="0.25">
      <c r="A1968" t="str">
        <f>"555212152"</f>
        <v>555212152</v>
      </c>
      <c r="B1968" t="str">
        <f>"T-Verbinder m. Datenbus f. 3~Aufbauschiene, SL außen, links"</f>
        <v>T-Verbinder m. Datenbus f. 3~Aufbauschiene, SL außen, links</v>
      </c>
      <c r="C1968" t="str">
        <f t="shared" si="92"/>
        <v>29</v>
      </c>
      <c r="D1968" s="1">
        <v>90</v>
      </c>
    </row>
    <row r="1969" spans="1:4" x14ac:dyDescent="0.25">
      <c r="A1969" t="str">
        <f>"555212157"</f>
        <v>555212157</v>
      </c>
      <c r="B1969" t="str">
        <f>"T-Verbinder m. Datenbus f. 3~Aufbauschiene, SL außen, links"</f>
        <v>T-Verbinder m. Datenbus f. 3~Aufbauschiene, SL außen, links</v>
      </c>
      <c r="C1969" t="str">
        <f t="shared" si="92"/>
        <v>29</v>
      </c>
      <c r="D1969" s="1">
        <v>110</v>
      </c>
    </row>
    <row r="1970" spans="1:4" x14ac:dyDescent="0.25">
      <c r="A1970" t="str">
        <f>"555212161N"</f>
        <v>555212161N</v>
      </c>
      <c r="B1970" t="str">
        <f>"X-Verbinder mit Datenbus f. 3~Aufbauschiene, verkehrsweiß "</f>
        <v xml:space="preserve">X-Verbinder mit Datenbus f. 3~Aufbauschiene, verkehrsweiß </v>
      </c>
      <c r="C1970" t="str">
        <f t="shared" si="92"/>
        <v>29</v>
      </c>
      <c r="D1970" s="1">
        <v>100</v>
      </c>
    </row>
    <row r="1971" spans="1:4" x14ac:dyDescent="0.25">
      <c r="A1971" t="str">
        <f>"555212162"</f>
        <v>555212162</v>
      </c>
      <c r="B1971" t="str">
        <f>"X-Verbinder mit Datenbus f. 3~Aufbauschiene, schwarz "</f>
        <v xml:space="preserve">X-Verbinder mit Datenbus f. 3~Aufbauschiene, schwarz </v>
      </c>
      <c r="C1971" t="str">
        <f t="shared" si="92"/>
        <v>29</v>
      </c>
      <c r="D1971" s="1">
        <v>100</v>
      </c>
    </row>
    <row r="1972" spans="1:4" x14ac:dyDescent="0.25">
      <c r="A1972" t="str">
        <f>"555212167"</f>
        <v>555212167</v>
      </c>
      <c r="B1972" t="str">
        <f>"X-Verbinder mit Datenbus f. 3~Aufbauschiene, silber "</f>
        <v xml:space="preserve">X-Verbinder mit Datenbus f. 3~Aufbauschiene, silber </v>
      </c>
      <c r="C1972" t="str">
        <f t="shared" si="92"/>
        <v>29</v>
      </c>
      <c r="D1972" s="1">
        <v>120</v>
      </c>
    </row>
    <row r="1973" spans="1:4" x14ac:dyDescent="0.25">
      <c r="A1973" t="str">
        <f>"555252031N"</f>
        <v>555252031N</v>
      </c>
      <c r="B1973" t="str">
        <f>"Mitteleinspeiser m. Bus f. 3~Aufbau-, Einbau- u.Hochs.,verkehrsweiß"</f>
        <v>Mitteleinspeiser m. Bus f. 3~Aufbau-, Einbau- u.Hochs.,verkehrsweiß</v>
      </c>
      <c r="C1973" t="str">
        <f t="shared" si="92"/>
        <v>29</v>
      </c>
      <c r="D1973" s="1">
        <v>40</v>
      </c>
    </row>
    <row r="1974" spans="1:4" x14ac:dyDescent="0.25">
      <c r="A1974" t="str">
        <f>"555252032"</f>
        <v>555252032</v>
      </c>
      <c r="B1974" t="str">
        <f>"Mitteleinspeiser m. Bus f. 3~Aufbau-, Einbau- u.Hochs., schwarz"</f>
        <v>Mitteleinspeiser m. Bus f. 3~Aufbau-, Einbau- u.Hochs., schwarz</v>
      </c>
      <c r="C1974" t="str">
        <f t="shared" si="92"/>
        <v>29</v>
      </c>
      <c r="D1974" s="1">
        <v>40</v>
      </c>
    </row>
    <row r="1975" spans="1:4" x14ac:dyDescent="0.25">
      <c r="A1975" t="str">
        <f>"555252037"</f>
        <v>555252037</v>
      </c>
      <c r="B1975" t="str">
        <f>"Mitteleinspeiser m. Bus f. 3~Aufbau-, Einbau- u.Hochs., silber"</f>
        <v>Mitteleinspeiser m. Bus f. 3~Aufbau-, Einbau- u.Hochs., silber</v>
      </c>
      <c r="C1975" t="str">
        <f t="shared" si="92"/>
        <v>29</v>
      </c>
      <c r="D1975" s="1">
        <v>50</v>
      </c>
    </row>
  </sheetData>
  <mergeCells count="2">
    <mergeCell ref="A1:B1"/>
    <mergeCell ref="C1:E1"/>
  </mergeCells>
  <pageMargins left="0.7" right="0.7" top="0.78740157499999996" bottom="0.78740157499999996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Bier</dc:creator>
  <cp:lastModifiedBy>Daniel Müller</cp:lastModifiedBy>
  <dcterms:created xsi:type="dcterms:W3CDTF">2019-08-19T15:00:44Z</dcterms:created>
  <dcterms:modified xsi:type="dcterms:W3CDTF">2019-10-07T07:43:47Z</dcterms:modified>
</cp:coreProperties>
</file>